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430"/>
  <workbookPr filterPrivacy="1"/>
  <xr:revisionPtr revIDLastSave="17" documentId="8_{7A6B2E09-C217-42CF-B8C0-383855C283DC}" xr6:coauthVersionLast="45" xr6:coauthVersionMax="45" xr10:uidLastSave="{C2A2B88B-56D1-455C-BD44-957AE2AE458A}"/>
  <bookViews>
    <workbookView xWindow="-110" yWindow="-110" windowWidth="19420" windowHeight="10420" firstSheet="1" activeTab="3" xr2:uid="{00000000-000D-0000-FFFF-FFFF00000000}"/>
  </bookViews>
  <sheets>
    <sheet name="Instructions" sheetId="19" r:id="rId1"/>
    <sheet name="1. Inputs" sheetId="5" r:id="rId2"/>
    <sheet name="2. Return on Investment Summary" sheetId="13" r:id="rId3"/>
    <sheet name="3. Comparison Summary" sheetId="24" r:id="rId4"/>
    <sheet name="4. Detailed Reports" sheetId="18" r:id="rId5"/>
    <sheet name="Variety Data" sheetId="14" r:id="rId6"/>
    <sheet name="Considerations" sheetId="21" r:id="rId7"/>
    <sheet name="Assumptions" sheetId="22" r:id="rId8"/>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21" i="14" l="1"/>
  <c r="Q21" i="14"/>
  <c r="S21" i="14"/>
  <c r="D11" i="24" l="1"/>
  <c r="D10" i="24"/>
  <c r="D9" i="24"/>
  <c r="C4" i="24"/>
  <c r="C5" i="24"/>
  <c r="D15" i="24"/>
  <c r="D14" i="24"/>
  <c r="D13" i="24"/>
  <c r="D12" i="24"/>
  <c r="M242" i="18" l="1"/>
  <c r="L242" i="18"/>
  <c r="K242" i="18"/>
  <c r="J242" i="18"/>
  <c r="I242" i="18"/>
  <c r="H242" i="18"/>
  <c r="G242" i="18"/>
  <c r="F242" i="18"/>
  <c r="E242" i="18"/>
  <c r="D242" i="18"/>
  <c r="D109" i="13"/>
  <c r="D108" i="13"/>
  <c r="D107" i="13"/>
  <c r="D106" i="13"/>
  <c r="D105" i="13"/>
  <c r="D104" i="13"/>
  <c r="D103" i="13"/>
  <c r="D102" i="13"/>
  <c r="D101" i="13"/>
  <c r="D100" i="13"/>
  <c r="F107" i="5"/>
  <c r="D211" i="18" s="1"/>
  <c r="D64" i="13"/>
  <c r="D63" i="13"/>
  <c r="D62" i="13"/>
  <c r="D61" i="13"/>
  <c r="D60" i="13"/>
  <c r="D58" i="13"/>
  <c r="D59" i="13"/>
  <c r="D57" i="13"/>
  <c r="D56" i="13"/>
  <c r="D55" i="13"/>
  <c r="D106" i="5" l="1"/>
  <c r="F106" i="5" s="1"/>
  <c r="M210" i="18" s="1"/>
  <c r="D77" i="5"/>
  <c r="D92" i="5"/>
  <c r="D79" i="13"/>
  <c r="D78" i="13"/>
  <c r="D77" i="13"/>
  <c r="D76" i="13"/>
  <c r="D75" i="13"/>
  <c r="D74" i="13"/>
  <c r="D73" i="13"/>
  <c r="D72" i="13"/>
  <c r="D71" i="13"/>
  <c r="D70" i="13"/>
  <c r="M113" i="18"/>
  <c r="L113" i="18"/>
  <c r="K113" i="18"/>
  <c r="J113" i="18"/>
  <c r="I113" i="18"/>
  <c r="H113" i="18"/>
  <c r="G113" i="18"/>
  <c r="F113" i="18"/>
  <c r="E113" i="18"/>
  <c r="D113" i="18"/>
  <c r="M156" i="18"/>
  <c r="L156" i="18"/>
  <c r="K156" i="18"/>
  <c r="J156" i="18"/>
  <c r="I156" i="18"/>
  <c r="H156" i="18"/>
  <c r="G156" i="18"/>
  <c r="F156" i="18"/>
  <c r="E156" i="18"/>
  <c r="D156" i="18"/>
  <c r="E210" i="18" l="1"/>
  <c r="L210" i="18"/>
  <c r="I210" i="18"/>
  <c r="G210" i="18"/>
  <c r="K210" i="18"/>
  <c r="H210" i="18"/>
  <c r="F210" i="18"/>
  <c r="J210" i="18"/>
  <c r="C5" i="18"/>
  <c r="C4" i="18"/>
  <c r="C5" i="13"/>
  <c r="C4" i="13"/>
  <c r="M199" i="18" l="1"/>
  <c r="L199" i="18"/>
  <c r="K199" i="18"/>
  <c r="J199" i="18"/>
  <c r="I199" i="18"/>
  <c r="H199" i="18"/>
  <c r="G199" i="18"/>
  <c r="F199" i="18"/>
  <c r="E199" i="18"/>
  <c r="D199" i="18"/>
  <c r="D94" i="13"/>
  <c r="D93" i="13"/>
  <c r="D92" i="13"/>
  <c r="D91" i="13"/>
  <c r="D90" i="13"/>
  <c r="D89" i="13"/>
  <c r="D88" i="13"/>
  <c r="D87" i="13"/>
  <c r="D86" i="13"/>
  <c r="D85" i="13"/>
  <c r="K258" i="18" l="1"/>
  <c r="J258" i="18"/>
  <c r="I258" i="18"/>
  <c r="K214" i="18"/>
  <c r="J214" i="18"/>
  <c r="I214" i="18"/>
  <c r="K128" i="18"/>
  <c r="J128" i="18"/>
  <c r="I128" i="18"/>
  <c r="D239" i="18"/>
  <c r="G98" i="13"/>
  <c r="D196" i="18"/>
  <c r="G83" i="13"/>
  <c r="D153" i="18"/>
  <c r="G68" i="13"/>
  <c r="D7" i="18"/>
  <c r="D38" i="18"/>
  <c r="D74" i="18"/>
  <c r="G24" i="13"/>
  <c r="G38" i="13"/>
  <c r="D110" i="18"/>
  <c r="G53" i="13"/>
  <c r="F60" i="5"/>
  <c r="D82" i="18" s="1"/>
  <c r="F113" i="5"/>
  <c r="D246" i="18" s="1"/>
  <c r="G7" i="13" l="1"/>
  <c r="F14" i="5"/>
  <c r="D117" i="5"/>
  <c r="D118" i="5"/>
  <c r="F118" i="5" s="1"/>
  <c r="D251" i="18" s="1"/>
  <c r="D120" i="5"/>
  <c r="F120" i="5" s="1"/>
  <c r="D253" i="18" s="1"/>
  <c r="D119" i="5"/>
  <c r="F119" i="5" s="1"/>
  <c r="D252" i="18" s="1"/>
  <c r="F123" i="5"/>
  <c r="D256" i="18" s="1"/>
  <c r="F122" i="5"/>
  <c r="D255" i="18" s="1"/>
  <c r="F121" i="5"/>
  <c r="D254" i="18" s="1"/>
  <c r="F115" i="5"/>
  <c r="D248" i="18" s="1"/>
  <c r="F114" i="5"/>
  <c r="D247" i="18" s="1"/>
  <c r="F46" i="5"/>
  <c r="F18" i="5"/>
  <c r="F23" i="5" s="1"/>
  <c r="F89" i="5"/>
  <c r="D164" i="18" s="1"/>
  <c r="F103" i="5"/>
  <c r="D207" i="18" s="1"/>
  <c r="O20" i="14" l="1"/>
  <c r="O16" i="14"/>
  <c r="O12" i="14"/>
  <c r="O8" i="14"/>
  <c r="O19" i="14"/>
  <c r="O15" i="14"/>
  <c r="O11" i="14"/>
  <c r="O7" i="14"/>
  <c r="O18" i="14"/>
  <c r="O14" i="14"/>
  <c r="O10" i="14"/>
  <c r="O6" i="14"/>
  <c r="D88" i="5" s="1"/>
  <c r="O17" i="14"/>
  <c r="O13" i="14"/>
  <c r="O9" i="14"/>
  <c r="S19" i="14"/>
  <c r="S17" i="14"/>
  <c r="S15" i="14"/>
  <c r="S13" i="14"/>
  <c r="S11" i="14"/>
  <c r="S9" i="14"/>
  <c r="Q7" i="14"/>
  <c r="Q8" i="14"/>
  <c r="Q19" i="14"/>
  <c r="Q17" i="14"/>
  <c r="Q15" i="14"/>
  <c r="Q13" i="14"/>
  <c r="Q11" i="14"/>
  <c r="Q9" i="14"/>
  <c r="S6" i="14"/>
  <c r="S20" i="14"/>
  <c r="S18" i="14"/>
  <c r="S16" i="14"/>
  <c r="S14" i="14"/>
  <c r="S12" i="14"/>
  <c r="S10" i="14"/>
  <c r="S8" i="14"/>
  <c r="Q6" i="14"/>
  <c r="Q20" i="14"/>
  <c r="Q18" i="14"/>
  <c r="Q16" i="14"/>
  <c r="Q14" i="14"/>
  <c r="Q12" i="14"/>
  <c r="Q10" i="14"/>
  <c r="S7" i="14"/>
  <c r="E101" i="18"/>
  <c r="D101" i="18"/>
  <c r="M274" i="18"/>
  <c r="I274" i="18"/>
  <c r="E274" i="18"/>
  <c r="J230" i="18"/>
  <c r="F230" i="18"/>
  <c r="L274" i="18"/>
  <c r="H274" i="18"/>
  <c r="D274" i="18"/>
  <c r="M230" i="18"/>
  <c r="I230" i="18"/>
  <c r="E230" i="18"/>
  <c r="K274" i="18"/>
  <c r="G274" i="18"/>
  <c r="L230" i="18"/>
  <c r="H230" i="18"/>
  <c r="F101" i="18"/>
  <c r="J274" i="18"/>
  <c r="F274" i="18"/>
  <c r="K230" i="18"/>
  <c r="G230" i="18"/>
  <c r="D230" i="18"/>
  <c r="M187" i="18"/>
  <c r="I187" i="18"/>
  <c r="E187" i="18"/>
  <c r="J144" i="18"/>
  <c r="F144" i="18"/>
  <c r="L187" i="18"/>
  <c r="H187" i="18"/>
  <c r="D187" i="18"/>
  <c r="M144" i="18"/>
  <c r="I144" i="18"/>
  <c r="E144" i="18"/>
  <c r="K187" i="18"/>
  <c r="G187" i="18"/>
  <c r="L144" i="18"/>
  <c r="H144" i="18"/>
  <c r="J187" i="18"/>
  <c r="F187" i="18"/>
  <c r="K144" i="18"/>
  <c r="G144" i="18"/>
  <c r="D144" i="18"/>
  <c r="M101" i="18"/>
  <c r="I101" i="18"/>
  <c r="D65" i="18"/>
  <c r="M29" i="18"/>
  <c r="I29" i="18"/>
  <c r="E29" i="18"/>
  <c r="L101" i="18"/>
  <c r="H101" i="18"/>
  <c r="L29" i="18"/>
  <c r="H29" i="18"/>
  <c r="G101" i="18"/>
  <c r="G29" i="18"/>
  <c r="K101" i="18"/>
  <c r="K29" i="18"/>
  <c r="J101" i="18"/>
  <c r="J29" i="18"/>
  <c r="F29" i="18"/>
  <c r="F116" i="5"/>
  <c r="D249" i="18" s="1"/>
  <c r="J65" i="18"/>
  <c r="F65" i="18"/>
  <c r="G65" i="18"/>
  <c r="M65" i="18"/>
  <c r="I65" i="18"/>
  <c r="E65" i="18"/>
  <c r="D29" i="18"/>
  <c r="L65" i="18"/>
  <c r="H65" i="18"/>
  <c r="K65" i="18"/>
  <c r="H23" i="5"/>
  <c r="E4" i="24" s="1"/>
  <c r="F93" i="5"/>
  <c r="D168" i="18" s="1"/>
  <c r="F108" i="5"/>
  <c r="D212" i="18" s="1"/>
  <c r="F94" i="5"/>
  <c r="D169" i="18" s="1"/>
  <c r="F79" i="5"/>
  <c r="D125" i="18" s="1"/>
  <c r="F78" i="5"/>
  <c r="D124" i="18" s="1"/>
  <c r="F61" i="5"/>
  <c r="D83" i="18" s="1"/>
  <c r="F55" i="5"/>
  <c r="F54" i="5"/>
  <c r="F47" i="5"/>
  <c r="D30" i="18" s="1"/>
  <c r="D102" i="5" l="1"/>
  <c r="D76" i="5"/>
  <c r="D105" i="5"/>
  <c r="D91" i="5"/>
  <c r="F77" i="5"/>
  <c r="F92" i="5"/>
  <c r="I47" i="18"/>
  <c r="D47" i="18"/>
  <c r="I46" i="18"/>
  <c r="D46" i="18"/>
  <c r="L275" i="18"/>
  <c r="H275" i="18"/>
  <c r="M231" i="18"/>
  <c r="I231" i="18"/>
  <c r="E231" i="18"/>
  <c r="D102" i="18"/>
  <c r="K275" i="18"/>
  <c r="G275" i="18"/>
  <c r="L231" i="18"/>
  <c r="H231" i="18"/>
  <c r="F102" i="18"/>
  <c r="J275" i="18"/>
  <c r="F275" i="18"/>
  <c r="D275" i="18"/>
  <c r="K231" i="18"/>
  <c r="G231" i="18"/>
  <c r="E102" i="18"/>
  <c r="M275" i="18"/>
  <c r="I275" i="18"/>
  <c r="E275" i="18"/>
  <c r="J231" i="18"/>
  <c r="F231" i="18"/>
  <c r="L188" i="18"/>
  <c r="H188" i="18"/>
  <c r="M145" i="18"/>
  <c r="I145" i="18"/>
  <c r="E145" i="18"/>
  <c r="D231" i="18"/>
  <c r="K188" i="18"/>
  <c r="G188" i="18"/>
  <c r="L145" i="18"/>
  <c r="H145" i="18"/>
  <c r="J188" i="18"/>
  <c r="F188" i="18"/>
  <c r="D188" i="18"/>
  <c r="K145" i="18"/>
  <c r="G145" i="18"/>
  <c r="M188" i="18"/>
  <c r="I188" i="18"/>
  <c r="E188" i="18"/>
  <c r="J145" i="18"/>
  <c r="F145" i="18"/>
  <c r="D145" i="18"/>
  <c r="J102" i="18"/>
  <c r="L30" i="18"/>
  <c r="H30" i="18"/>
  <c r="K66" i="18"/>
  <c r="G66" i="18"/>
  <c r="L102" i="18"/>
  <c r="H102" i="18"/>
  <c r="F30" i="18"/>
  <c r="I66" i="18"/>
  <c r="L66" i="18"/>
  <c r="M102" i="18"/>
  <c r="I102" i="18"/>
  <c r="K30" i="18"/>
  <c r="G30" i="18"/>
  <c r="J66" i="18"/>
  <c r="F66" i="18"/>
  <c r="J30" i="18"/>
  <c r="E66" i="18"/>
  <c r="M66" i="18"/>
  <c r="H66" i="18"/>
  <c r="K102" i="18"/>
  <c r="G102" i="18"/>
  <c r="D66" i="18"/>
  <c r="M30" i="18"/>
  <c r="I30" i="18"/>
  <c r="E30" i="18"/>
  <c r="J5" i="13"/>
  <c r="E100" i="13" s="1"/>
  <c r="B243" i="18"/>
  <c r="B200" i="18"/>
  <c r="B114" i="18"/>
  <c r="B78" i="18"/>
  <c r="B157" i="18"/>
  <c r="B42" i="18"/>
  <c r="B11" i="18"/>
  <c r="L114" i="18"/>
  <c r="L115" i="18" s="1"/>
  <c r="I200" i="18"/>
  <c r="I201" i="18" s="1"/>
  <c r="J243" i="18"/>
  <c r="J244" i="18" s="1"/>
  <c r="K157" i="18"/>
  <c r="K158" i="18" s="1"/>
  <c r="G114" i="18"/>
  <c r="G115" i="18" s="1"/>
  <c r="M114" i="18"/>
  <c r="M115" i="18" s="1"/>
  <c r="H200" i="18"/>
  <c r="H201" i="18" s="1"/>
  <c r="L243" i="18"/>
  <c r="L244" i="18" s="1"/>
  <c r="F157" i="18"/>
  <c r="F158" i="18" s="1"/>
  <c r="I114" i="18"/>
  <c r="I115" i="18" s="1"/>
  <c r="E157" i="18"/>
  <c r="E158" i="18" s="1"/>
  <c r="M200" i="18"/>
  <c r="M201" i="18" s="1"/>
  <c r="F200" i="18"/>
  <c r="F201" i="18" s="1"/>
  <c r="G200" i="18"/>
  <c r="G201" i="18" s="1"/>
  <c r="K114" i="18"/>
  <c r="K115" i="18" s="1"/>
  <c r="D157" i="18"/>
  <c r="D158" i="18" s="1"/>
  <c r="L200" i="18"/>
  <c r="L201" i="18" s="1"/>
  <c r="K243" i="18"/>
  <c r="K244" i="18" s="1"/>
  <c r="D200" i="18"/>
  <c r="D201" i="18" s="1"/>
  <c r="E114" i="18"/>
  <c r="E115" i="18" s="1"/>
  <c r="D114" i="18"/>
  <c r="D115" i="18" s="1"/>
  <c r="I243" i="18"/>
  <c r="I244" i="18" s="1"/>
  <c r="J200" i="18"/>
  <c r="J201" i="18" s="1"/>
  <c r="G243" i="18"/>
  <c r="G244" i="18" s="1"/>
  <c r="H157" i="18"/>
  <c r="H158" i="18" s="1"/>
  <c r="D243" i="18"/>
  <c r="D244" i="18" s="1"/>
  <c r="F114" i="18"/>
  <c r="F115" i="18" s="1"/>
  <c r="M157" i="18"/>
  <c r="M158" i="18" s="1"/>
  <c r="H114" i="18"/>
  <c r="H115" i="18" s="1"/>
  <c r="E200" i="18"/>
  <c r="E201" i="18" s="1"/>
  <c r="M243" i="18"/>
  <c r="M244" i="18" s="1"/>
  <c r="F243" i="18"/>
  <c r="F244" i="18" s="1"/>
  <c r="J114" i="18"/>
  <c r="J115" i="18" s="1"/>
  <c r="G157" i="18"/>
  <c r="G158" i="18" s="1"/>
  <c r="L157" i="18"/>
  <c r="L158" i="18" s="1"/>
  <c r="H243" i="18"/>
  <c r="H244" i="18" s="1"/>
  <c r="K200" i="18"/>
  <c r="K201" i="18" s="1"/>
  <c r="J157" i="18"/>
  <c r="J158" i="18" s="1"/>
  <c r="E243" i="18"/>
  <c r="E244" i="18" s="1"/>
  <c r="I157" i="18"/>
  <c r="I158" i="18" s="1"/>
  <c r="E106" i="13"/>
  <c r="M123" i="18" l="1"/>
  <c r="I123" i="18"/>
  <c r="E123" i="18"/>
  <c r="D123" i="18"/>
  <c r="L123" i="18"/>
  <c r="H123" i="18"/>
  <c r="K123" i="18"/>
  <c r="G123" i="18"/>
  <c r="J123" i="18"/>
  <c r="F123" i="18"/>
  <c r="M167" i="18"/>
  <c r="I167" i="18"/>
  <c r="E167" i="18"/>
  <c r="L167" i="18"/>
  <c r="H167" i="18"/>
  <c r="K167" i="18"/>
  <c r="G167" i="18"/>
  <c r="J167" i="18"/>
  <c r="F167" i="18"/>
  <c r="E104" i="13"/>
  <c r="E108" i="13"/>
  <c r="E105" i="13"/>
  <c r="E109" i="13"/>
  <c r="E101" i="13"/>
  <c r="E107" i="13"/>
  <c r="E102" i="13"/>
  <c r="E103" i="13"/>
  <c r="E110" i="13" l="1"/>
  <c r="G15" i="24" s="1"/>
  <c r="F69" i="5"/>
  <c r="F68" i="5"/>
  <c r="F13" i="5"/>
  <c r="J4" i="13" s="1"/>
  <c r="D126" i="18" l="1"/>
  <c r="F126" i="18"/>
  <c r="E126" i="18"/>
  <c r="D47" i="13"/>
  <c r="K77" i="18" s="1"/>
  <c r="K78" i="18" s="1"/>
  <c r="K79" i="18" s="1"/>
  <c r="D26" i="13"/>
  <c r="D41" i="18" s="1"/>
  <c r="D42" i="18" s="1"/>
  <c r="D43" i="18" s="1"/>
  <c r="D42" i="13"/>
  <c r="F77" i="18" s="1"/>
  <c r="F78" i="18" s="1"/>
  <c r="F79" i="18" s="1"/>
  <c r="D41" i="13"/>
  <c r="E77" i="18" s="1"/>
  <c r="E78" i="18" s="1"/>
  <c r="E79" i="18" s="1"/>
  <c r="D12" i="13"/>
  <c r="G10" i="18" s="1"/>
  <c r="G11" i="18" s="1"/>
  <c r="G12" i="18" s="1"/>
  <c r="D44" i="13"/>
  <c r="H77" i="18" s="1"/>
  <c r="H78" i="18" s="1"/>
  <c r="H79" i="18" s="1"/>
  <c r="D13" i="13"/>
  <c r="H10" i="18" s="1"/>
  <c r="H11" i="18" s="1"/>
  <c r="H12" i="18" s="1"/>
  <c r="D14" i="13"/>
  <c r="I10" i="18" s="1"/>
  <c r="I11" i="18" s="1"/>
  <c r="I12" i="18" s="1"/>
  <c r="D45" i="13"/>
  <c r="I77" i="18" s="1"/>
  <c r="I78" i="18" s="1"/>
  <c r="I79" i="18" s="1"/>
  <c r="D27" i="13"/>
  <c r="E41" i="18" s="1"/>
  <c r="E42" i="18" s="1"/>
  <c r="E43" i="18" s="1"/>
  <c r="D48" i="13"/>
  <c r="L77" i="18" s="1"/>
  <c r="L78" i="18" s="1"/>
  <c r="L79" i="18" s="1"/>
  <c r="D15" i="13"/>
  <c r="J10" i="18" s="1"/>
  <c r="J11" i="18" s="1"/>
  <c r="J12" i="18" s="1"/>
  <c r="D17" i="13"/>
  <c r="L10" i="18" s="1"/>
  <c r="L11" i="18" s="1"/>
  <c r="L12" i="18" s="1"/>
  <c r="D28" i="13"/>
  <c r="F41" i="18" s="1"/>
  <c r="F42" i="18" s="1"/>
  <c r="F43" i="18" s="1"/>
  <c r="D40" i="13"/>
  <c r="D77" i="18" s="1"/>
  <c r="D78" i="18" s="1"/>
  <c r="D79" i="18" s="1"/>
  <c r="D30" i="13"/>
  <c r="H41" i="18" s="1"/>
  <c r="H42" i="18" s="1"/>
  <c r="H43" i="18" s="1"/>
  <c r="D18" i="13"/>
  <c r="M10" i="18" s="1"/>
  <c r="M11" i="18" s="1"/>
  <c r="M12" i="18" s="1"/>
  <c r="D11" i="13"/>
  <c r="F10" i="18" s="1"/>
  <c r="F11" i="18" s="1"/>
  <c r="F12" i="18" s="1"/>
  <c r="D46" i="13"/>
  <c r="J77" i="18" s="1"/>
  <c r="J78" i="18" s="1"/>
  <c r="J79" i="18" s="1"/>
  <c r="D16" i="13"/>
  <c r="K10" i="18" s="1"/>
  <c r="K11" i="18" s="1"/>
  <c r="K12" i="18" s="1"/>
  <c r="D49" i="13"/>
  <c r="M77" i="18" s="1"/>
  <c r="M78" i="18" s="1"/>
  <c r="M79" i="18" s="1"/>
  <c r="D29" i="13"/>
  <c r="G41" i="18" s="1"/>
  <c r="G42" i="18" s="1"/>
  <c r="G43" i="18" s="1"/>
  <c r="D9" i="13"/>
  <c r="D10" i="13"/>
  <c r="E10" i="18" s="1"/>
  <c r="E11" i="18" s="1"/>
  <c r="E12" i="18" s="1"/>
  <c r="D43" i="13"/>
  <c r="G77" i="18" s="1"/>
  <c r="G78" i="18" s="1"/>
  <c r="G79" i="18" s="1"/>
  <c r="F100" i="5"/>
  <c r="D204" i="18" s="1"/>
  <c r="F101" i="5"/>
  <c r="D205" i="18" s="1"/>
  <c r="F102" i="5"/>
  <c r="D206" i="18" s="1"/>
  <c r="F104" i="5"/>
  <c r="D208" i="18" s="1"/>
  <c r="F105" i="5"/>
  <c r="F99" i="5"/>
  <c r="D203" i="18" s="1"/>
  <c r="F86" i="5"/>
  <c r="D161" i="18" s="1"/>
  <c r="F87" i="5"/>
  <c r="D162" i="18" s="1"/>
  <c r="F88" i="5"/>
  <c r="D163" i="18" s="1"/>
  <c r="F90" i="5"/>
  <c r="D165" i="18" s="1"/>
  <c r="F91" i="5"/>
  <c r="D166" i="18" s="1"/>
  <c r="F85" i="5"/>
  <c r="D160" i="18" s="1"/>
  <c r="F59" i="5"/>
  <c r="D81" i="18" s="1"/>
  <c r="F53" i="5"/>
  <c r="F32" i="5"/>
  <c r="F33" i="5"/>
  <c r="F34" i="5"/>
  <c r="F35" i="5"/>
  <c r="F36" i="5"/>
  <c r="F37" i="5"/>
  <c r="F38" i="5"/>
  <c r="F39" i="5"/>
  <c r="F40" i="5"/>
  <c r="F41" i="5"/>
  <c r="F42" i="5"/>
  <c r="F43" i="5"/>
  <c r="F44" i="5"/>
  <c r="F45" i="5"/>
  <c r="F31" i="5"/>
  <c r="F72" i="5"/>
  <c r="D118" i="18" s="1"/>
  <c r="F73" i="5"/>
  <c r="D119" i="18" s="1"/>
  <c r="F74" i="5"/>
  <c r="D120" i="18" s="1"/>
  <c r="F75" i="5"/>
  <c r="D121" i="18" s="1"/>
  <c r="F76" i="5"/>
  <c r="D122" i="18" s="1"/>
  <c r="F71" i="5"/>
  <c r="D117" i="18" s="1"/>
  <c r="C87" i="13" l="1"/>
  <c r="C86" i="13"/>
  <c r="C71" i="13"/>
  <c r="C72" i="13"/>
  <c r="C94" i="13"/>
  <c r="C92" i="13"/>
  <c r="C91" i="13"/>
  <c r="C89" i="13"/>
  <c r="C90" i="13"/>
  <c r="C88" i="13"/>
  <c r="C93" i="13"/>
  <c r="C75" i="13"/>
  <c r="C78" i="13"/>
  <c r="C73" i="13"/>
  <c r="C79" i="13"/>
  <c r="C74" i="13"/>
  <c r="C77" i="13"/>
  <c r="C76" i="13"/>
  <c r="C85" i="13"/>
  <c r="D209" i="18"/>
  <c r="C57" i="13"/>
  <c r="C56" i="13"/>
  <c r="C9" i="13"/>
  <c r="D21" i="13" s="1"/>
  <c r="C64" i="13"/>
  <c r="C62" i="13"/>
  <c r="C59" i="13"/>
  <c r="C60" i="13"/>
  <c r="C61" i="13"/>
  <c r="C58" i="13"/>
  <c r="C63" i="13"/>
  <c r="C55" i="13"/>
  <c r="D10" i="18"/>
  <c r="D11" i="18" s="1"/>
  <c r="D12" i="18" s="1"/>
  <c r="C70" i="13"/>
  <c r="I45" i="18"/>
  <c r="D45" i="18"/>
  <c r="J270" i="18"/>
  <c r="F270" i="18"/>
  <c r="D270" i="18"/>
  <c r="E97" i="18"/>
  <c r="M270" i="18"/>
  <c r="I270" i="18"/>
  <c r="E270" i="18"/>
  <c r="L270" i="18"/>
  <c r="H270" i="18"/>
  <c r="F97" i="18"/>
  <c r="D97" i="18"/>
  <c r="K270" i="18"/>
  <c r="G270" i="18"/>
  <c r="K226" i="18"/>
  <c r="G226" i="18"/>
  <c r="J183" i="18"/>
  <c r="F183" i="18"/>
  <c r="J140" i="18"/>
  <c r="F140" i="18"/>
  <c r="J226" i="18"/>
  <c r="F226" i="18"/>
  <c r="M183" i="18"/>
  <c r="I183" i="18"/>
  <c r="E183" i="18"/>
  <c r="M226" i="18"/>
  <c r="I226" i="18"/>
  <c r="E226" i="18"/>
  <c r="D183" i="18"/>
  <c r="L183" i="18"/>
  <c r="H183" i="18"/>
  <c r="L226" i="18"/>
  <c r="H226" i="18"/>
  <c r="D226" i="18"/>
  <c r="K183" i="18"/>
  <c r="G183" i="18"/>
  <c r="K140" i="18"/>
  <c r="G140" i="18"/>
  <c r="H140" i="18"/>
  <c r="D140" i="18"/>
  <c r="L97" i="18"/>
  <c r="H97" i="18"/>
  <c r="J61" i="18"/>
  <c r="M61" i="18"/>
  <c r="M140" i="18"/>
  <c r="E140" i="18"/>
  <c r="K97" i="18"/>
  <c r="G97" i="18"/>
  <c r="I61" i="18"/>
  <c r="D61" i="18"/>
  <c r="L140" i="18"/>
  <c r="J97" i="18"/>
  <c r="F61" i="18"/>
  <c r="I140" i="18"/>
  <c r="M97" i="18"/>
  <c r="I97" i="18"/>
  <c r="K61" i="18"/>
  <c r="E61" i="18"/>
  <c r="L61" i="18"/>
  <c r="H61" i="18"/>
  <c r="G61" i="18"/>
  <c r="M25" i="18"/>
  <c r="I25" i="18"/>
  <c r="E25" i="18"/>
  <c r="L25" i="18"/>
  <c r="H25" i="18"/>
  <c r="D25" i="18"/>
  <c r="K25" i="18"/>
  <c r="G25" i="18"/>
  <c r="J25" i="18"/>
  <c r="F25" i="18"/>
  <c r="F117" i="5"/>
  <c r="D250" i="18" s="1"/>
  <c r="E182" i="18"/>
  <c r="F96" i="18"/>
  <c r="K269" i="18"/>
  <c r="G269" i="18"/>
  <c r="E225" i="18"/>
  <c r="J269" i="18"/>
  <c r="F269" i="18"/>
  <c r="E269" i="18"/>
  <c r="E96" i="18"/>
  <c r="E139" i="18"/>
  <c r="M269" i="18"/>
  <c r="I269" i="18"/>
  <c r="L269" i="18"/>
  <c r="H269" i="18"/>
  <c r="L225" i="18"/>
  <c r="H225" i="18"/>
  <c r="K182" i="18"/>
  <c r="G182" i="18"/>
  <c r="K139" i="18"/>
  <c r="G139" i="18"/>
  <c r="K225" i="18"/>
  <c r="G225" i="18"/>
  <c r="J182" i="18"/>
  <c r="F182" i="18"/>
  <c r="J225" i="18"/>
  <c r="F225" i="18"/>
  <c r="M182" i="18"/>
  <c r="I182" i="18"/>
  <c r="M225" i="18"/>
  <c r="I225" i="18"/>
  <c r="L182" i="18"/>
  <c r="H182" i="18"/>
  <c r="L139" i="18"/>
  <c r="H139" i="18"/>
  <c r="I139" i="18"/>
  <c r="K96" i="18"/>
  <c r="G96" i="18"/>
  <c r="K60" i="18"/>
  <c r="E60" i="18"/>
  <c r="D60" i="18"/>
  <c r="L60" i="18"/>
  <c r="F139" i="18"/>
  <c r="J96" i="18"/>
  <c r="J60" i="18"/>
  <c r="M60" i="18"/>
  <c r="M139" i="18"/>
  <c r="M96" i="18"/>
  <c r="I96" i="18"/>
  <c r="I60" i="18"/>
  <c r="J139" i="18"/>
  <c r="L96" i="18"/>
  <c r="H96" i="18"/>
  <c r="F60" i="18"/>
  <c r="J24" i="18"/>
  <c r="F24" i="18"/>
  <c r="D24" i="18"/>
  <c r="H60" i="18"/>
  <c r="M24" i="18"/>
  <c r="I24" i="18"/>
  <c r="E24" i="18"/>
  <c r="L24" i="18"/>
  <c r="H24" i="18"/>
  <c r="G60" i="18"/>
  <c r="K24" i="18"/>
  <c r="G24" i="18"/>
  <c r="J271" i="18"/>
  <c r="F271" i="18"/>
  <c r="K227" i="18"/>
  <c r="M271" i="18"/>
  <c r="I271" i="18"/>
  <c r="F98" i="18"/>
  <c r="L271" i="18"/>
  <c r="H271" i="18"/>
  <c r="K271" i="18"/>
  <c r="G271" i="18"/>
  <c r="L227" i="18"/>
  <c r="M227" i="18"/>
  <c r="G227" i="18"/>
  <c r="J184" i="18"/>
  <c r="F184" i="18"/>
  <c r="J141" i="18"/>
  <c r="F141" i="18"/>
  <c r="J227" i="18"/>
  <c r="F227" i="18"/>
  <c r="M184" i="18"/>
  <c r="I184" i="18"/>
  <c r="M141" i="18"/>
  <c r="I141" i="18"/>
  <c r="I227" i="18"/>
  <c r="L184" i="18"/>
  <c r="H184" i="18"/>
  <c r="L141" i="18"/>
  <c r="H141" i="18"/>
  <c r="H227" i="18"/>
  <c r="K184" i="18"/>
  <c r="G184" i="18"/>
  <c r="K141" i="18"/>
  <c r="G141" i="18"/>
  <c r="M98" i="18"/>
  <c r="I98" i="18"/>
  <c r="I62" i="18"/>
  <c r="H62" i="18"/>
  <c r="L98" i="18"/>
  <c r="H98" i="18"/>
  <c r="F62" i="18"/>
  <c r="K98" i="18"/>
  <c r="G98" i="18"/>
  <c r="K62" i="18"/>
  <c r="E62" i="18"/>
  <c r="D62" i="18"/>
  <c r="L62" i="18"/>
  <c r="J98" i="18"/>
  <c r="J62" i="18"/>
  <c r="M62" i="18"/>
  <c r="L26" i="18"/>
  <c r="H26" i="18"/>
  <c r="G62" i="18"/>
  <c r="K26" i="18"/>
  <c r="G26" i="18"/>
  <c r="D26" i="18"/>
  <c r="J26" i="18"/>
  <c r="F26" i="18"/>
  <c r="M26" i="18"/>
  <c r="I26" i="18"/>
  <c r="E26" i="18"/>
  <c r="L267" i="18"/>
  <c r="H267" i="18"/>
  <c r="D94" i="18"/>
  <c r="K267" i="18"/>
  <c r="G267" i="18"/>
  <c r="F94" i="18"/>
  <c r="J267" i="18"/>
  <c r="F267" i="18"/>
  <c r="D267" i="18"/>
  <c r="E94" i="18"/>
  <c r="M267" i="18"/>
  <c r="I267" i="18"/>
  <c r="E267" i="18"/>
  <c r="M223" i="18"/>
  <c r="I223" i="18"/>
  <c r="E223" i="18"/>
  <c r="L180" i="18"/>
  <c r="H180" i="18"/>
  <c r="L223" i="18"/>
  <c r="H223" i="18"/>
  <c r="D223" i="18"/>
  <c r="K180" i="18"/>
  <c r="G180" i="18"/>
  <c r="K223" i="18"/>
  <c r="G223" i="18"/>
  <c r="J180" i="18"/>
  <c r="F180" i="18"/>
  <c r="J223" i="18"/>
  <c r="F223" i="18"/>
  <c r="M180" i="18"/>
  <c r="I180" i="18"/>
  <c r="E180" i="18"/>
  <c r="D180" i="18"/>
  <c r="K137" i="18"/>
  <c r="G137" i="18"/>
  <c r="M94" i="18"/>
  <c r="I94" i="18"/>
  <c r="I58" i="18"/>
  <c r="H58" i="18"/>
  <c r="G58" i="18"/>
  <c r="J137" i="18"/>
  <c r="F137" i="18"/>
  <c r="L94" i="18"/>
  <c r="H94" i="18"/>
  <c r="F58" i="18"/>
  <c r="M137" i="18"/>
  <c r="I137" i="18"/>
  <c r="E137" i="18"/>
  <c r="D137" i="18"/>
  <c r="K94" i="18"/>
  <c r="G94" i="18"/>
  <c r="K58" i="18"/>
  <c r="E58" i="18"/>
  <c r="D58" i="18"/>
  <c r="L58" i="18"/>
  <c r="L137" i="18"/>
  <c r="H137" i="18"/>
  <c r="J94" i="18"/>
  <c r="J58" i="18"/>
  <c r="M58" i="18"/>
  <c r="L22" i="18"/>
  <c r="H22" i="18"/>
  <c r="K22" i="18"/>
  <c r="G22" i="18"/>
  <c r="J22" i="18"/>
  <c r="F22" i="18"/>
  <c r="D22" i="18"/>
  <c r="M22" i="18"/>
  <c r="I22" i="18"/>
  <c r="E22" i="18"/>
  <c r="E263" i="18"/>
  <c r="E257" i="18"/>
  <c r="F176" i="18"/>
  <c r="D84" i="18"/>
  <c r="I48" i="18"/>
  <c r="D54" i="18"/>
  <c r="I54" i="18"/>
  <c r="K263" i="18"/>
  <c r="G263" i="18"/>
  <c r="D263" i="18"/>
  <c r="D257" i="18"/>
  <c r="F219" i="18"/>
  <c r="F213" i="18"/>
  <c r="E176" i="18"/>
  <c r="F170" i="18"/>
  <c r="F133" i="18"/>
  <c r="F127" i="18"/>
  <c r="F84" i="18"/>
  <c r="F48" i="18"/>
  <c r="L54" i="18"/>
  <c r="F54" i="18"/>
  <c r="J263" i="18"/>
  <c r="E219" i="18"/>
  <c r="E213" i="18"/>
  <c r="D176" i="18"/>
  <c r="E170" i="18"/>
  <c r="E133" i="18"/>
  <c r="E127" i="18"/>
  <c r="E84" i="18"/>
  <c r="F90" i="18"/>
  <c r="D90" i="18"/>
  <c r="K48" i="18"/>
  <c r="E48" i="18"/>
  <c r="K54" i="18"/>
  <c r="E54" i="18"/>
  <c r="M263" i="18"/>
  <c r="I263" i="18"/>
  <c r="F263" i="18"/>
  <c r="F257" i="18"/>
  <c r="D219" i="18"/>
  <c r="D213" i="18"/>
  <c r="D170" i="18"/>
  <c r="D133" i="18"/>
  <c r="D127" i="18"/>
  <c r="E90" i="18"/>
  <c r="J48" i="18"/>
  <c r="D48" i="18"/>
  <c r="J54" i="18"/>
  <c r="L263" i="18"/>
  <c r="H263" i="18"/>
  <c r="M219" i="18"/>
  <c r="I219" i="18"/>
  <c r="L176" i="18"/>
  <c r="H176" i="18"/>
  <c r="L219" i="18"/>
  <c r="H219" i="18"/>
  <c r="K176" i="18"/>
  <c r="G176" i="18"/>
  <c r="K219" i="18"/>
  <c r="G219" i="18"/>
  <c r="J176" i="18"/>
  <c r="J219" i="18"/>
  <c r="M176" i="18"/>
  <c r="I176" i="18"/>
  <c r="J133" i="18"/>
  <c r="M90" i="18"/>
  <c r="I90" i="18"/>
  <c r="H54" i="18"/>
  <c r="G54" i="18"/>
  <c r="M133" i="18"/>
  <c r="I133" i="18"/>
  <c r="L90" i="18"/>
  <c r="H90" i="18"/>
  <c r="L133" i="18"/>
  <c r="H133" i="18"/>
  <c r="K90" i="18"/>
  <c r="G90" i="18"/>
  <c r="K133" i="18"/>
  <c r="G133" i="18"/>
  <c r="J90" i="18"/>
  <c r="M54" i="18"/>
  <c r="L18" i="18"/>
  <c r="H18" i="18"/>
  <c r="K18" i="18"/>
  <c r="G18" i="18"/>
  <c r="J18" i="18"/>
  <c r="F18" i="18"/>
  <c r="D18" i="18"/>
  <c r="M18" i="18"/>
  <c r="I18" i="18"/>
  <c r="E18" i="18"/>
  <c r="J259" i="18"/>
  <c r="F259" i="18"/>
  <c r="D215" i="18"/>
  <c r="M259" i="18"/>
  <c r="I259" i="18"/>
  <c r="E259" i="18"/>
  <c r="F86" i="18"/>
  <c r="L259" i="18"/>
  <c r="H259" i="18"/>
  <c r="E86" i="18"/>
  <c r="K259" i="18"/>
  <c r="G259" i="18"/>
  <c r="D259" i="18"/>
  <c r="M215" i="18"/>
  <c r="I215" i="18"/>
  <c r="E215" i="18"/>
  <c r="L172" i="18"/>
  <c r="H172" i="18"/>
  <c r="F129" i="18"/>
  <c r="L215" i="18"/>
  <c r="H215" i="18"/>
  <c r="K172" i="18"/>
  <c r="G172" i="18"/>
  <c r="K215" i="18"/>
  <c r="G215" i="18"/>
  <c r="F172" i="18"/>
  <c r="J172" i="18"/>
  <c r="E172" i="18"/>
  <c r="J215" i="18"/>
  <c r="F215" i="18"/>
  <c r="M172" i="18"/>
  <c r="I172" i="18"/>
  <c r="D172" i="18"/>
  <c r="J129" i="18"/>
  <c r="E129" i="18"/>
  <c r="M86" i="18"/>
  <c r="I86" i="18"/>
  <c r="K50" i="18"/>
  <c r="E50" i="18"/>
  <c r="G50" i="18"/>
  <c r="H50" i="18"/>
  <c r="M129" i="18"/>
  <c r="I129" i="18"/>
  <c r="D86" i="18"/>
  <c r="L86" i="18"/>
  <c r="H86" i="18"/>
  <c r="J50" i="18"/>
  <c r="L129" i="18"/>
  <c r="H129" i="18"/>
  <c r="D129" i="18"/>
  <c r="K86" i="18"/>
  <c r="D50" i="18"/>
  <c r="I50" i="18"/>
  <c r="K129" i="18"/>
  <c r="G129" i="18"/>
  <c r="G86" i="18"/>
  <c r="J86" i="18"/>
  <c r="F50" i="18"/>
  <c r="M50" i="18"/>
  <c r="D14" i="18"/>
  <c r="L50" i="18"/>
  <c r="E93" i="18"/>
  <c r="D93" i="18"/>
  <c r="M266" i="18"/>
  <c r="I266" i="18"/>
  <c r="E266" i="18"/>
  <c r="L266" i="18"/>
  <c r="H266" i="18"/>
  <c r="D266" i="18"/>
  <c r="K266" i="18"/>
  <c r="G266" i="18"/>
  <c r="F93" i="18"/>
  <c r="J266" i="18"/>
  <c r="F266" i="18"/>
  <c r="J222" i="18"/>
  <c r="F222" i="18"/>
  <c r="D222" i="18"/>
  <c r="M179" i="18"/>
  <c r="I179" i="18"/>
  <c r="E179" i="18"/>
  <c r="M222" i="18"/>
  <c r="I222" i="18"/>
  <c r="E222" i="18"/>
  <c r="L179" i="18"/>
  <c r="H179" i="18"/>
  <c r="L222" i="18"/>
  <c r="H222" i="18"/>
  <c r="K179" i="18"/>
  <c r="G179" i="18"/>
  <c r="D179" i="18"/>
  <c r="K222" i="18"/>
  <c r="G222" i="18"/>
  <c r="J179" i="18"/>
  <c r="F179" i="18"/>
  <c r="L136" i="18"/>
  <c r="H136" i="18"/>
  <c r="L93" i="18"/>
  <c r="H93" i="18"/>
  <c r="J57" i="18"/>
  <c r="M57" i="18"/>
  <c r="K136" i="18"/>
  <c r="G136" i="18"/>
  <c r="D136" i="18"/>
  <c r="K93" i="18"/>
  <c r="G93" i="18"/>
  <c r="I57" i="18"/>
  <c r="D57" i="18"/>
  <c r="J136" i="18"/>
  <c r="F136" i="18"/>
  <c r="J93" i="18"/>
  <c r="F57" i="18"/>
  <c r="M136" i="18"/>
  <c r="I136" i="18"/>
  <c r="E136" i="18"/>
  <c r="M93" i="18"/>
  <c r="I93" i="18"/>
  <c r="K57" i="18"/>
  <c r="E57" i="18"/>
  <c r="L57" i="18"/>
  <c r="G57" i="18"/>
  <c r="M21" i="18"/>
  <c r="I21" i="18"/>
  <c r="E21" i="18"/>
  <c r="L21" i="18"/>
  <c r="H21" i="18"/>
  <c r="D21" i="18"/>
  <c r="H57" i="18"/>
  <c r="K21" i="18"/>
  <c r="G21" i="18"/>
  <c r="J21" i="18"/>
  <c r="F21" i="18"/>
  <c r="E89" i="18"/>
  <c r="J262" i="18"/>
  <c r="E262" i="18"/>
  <c r="D89" i="18"/>
  <c r="M262" i="18"/>
  <c r="I262" i="18"/>
  <c r="L262" i="18"/>
  <c r="H262" i="18"/>
  <c r="F262" i="18"/>
  <c r="F89" i="18"/>
  <c r="K262" i="18"/>
  <c r="G262" i="18"/>
  <c r="D262" i="18"/>
  <c r="L218" i="18"/>
  <c r="H218" i="18"/>
  <c r="K175" i="18"/>
  <c r="G175" i="18"/>
  <c r="D175" i="18"/>
  <c r="K218" i="18"/>
  <c r="G218" i="18"/>
  <c r="J175" i="18"/>
  <c r="F175" i="18"/>
  <c r="J218" i="18"/>
  <c r="F218" i="18"/>
  <c r="D218" i="18"/>
  <c r="M175" i="18"/>
  <c r="I175" i="18"/>
  <c r="E175" i="18"/>
  <c r="M218" i="18"/>
  <c r="I218" i="18"/>
  <c r="E218" i="18"/>
  <c r="L175" i="18"/>
  <c r="H175" i="18"/>
  <c r="M132" i="18"/>
  <c r="I132" i="18"/>
  <c r="E132" i="18"/>
  <c r="L89" i="18"/>
  <c r="H89" i="18"/>
  <c r="I53" i="18"/>
  <c r="M53" i="18"/>
  <c r="L132" i="18"/>
  <c r="H132" i="18"/>
  <c r="K89" i="18"/>
  <c r="G89" i="18"/>
  <c r="F53" i="18"/>
  <c r="K132" i="18"/>
  <c r="G132" i="18"/>
  <c r="J89" i="18"/>
  <c r="K53" i="18"/>
  <c r="E53" i="18"/>
  <c r="D53" i="18"/>
  <c r="L53" i="18"/>
  <c r="J132" i="18"/>
  <c r="F132" i="18"/>
  <c r="D132" i="18"/>
  <c r="M89" i="18"/>
  <c r="I89" i="18"/>
  <c r="J53" i="18"/>
  <c r="G53" i="18"/>
  <c r="H53" i="18"/>
  <c r="M17" i="18"/>
  <c r="I17" i="18"/>
  <c r="E17" i="18"/>
  <c r="L17" i="18"/>
  <c r="H17" i="18"/>
  <c r="D17" i="18"/>
  <c r="K17" i="18"/>
  <c r="G17" i="18"/>
  <c r="J17" i="18"/>
  <c r="F17" i="18"/>
  <c r="E273" i="18"/>
  <c r="E229" i="18"/>
  <c r="E100" i="18"/>
  <c r="F100" i="18"/>
  <c r="J273" i="18"/>
  <c r="F273" i="18"/>
  <c r="K229" i="18"/>
  <c r="G229" i="18"/>
  <c r="M273" i="18"/>
  <c r="I273" i="18"/>
  <c r="J229" i="18"/>
  <c r="F229" i="18"/>
  <c r="E186" i="18"/>
  <c r="L273" i="18"/>
  <c r="H273" i="18"/>
  <c r="M229" i="18"/>
  <c r="I229" i="18"/>
  <c r="E143" i="18"/>
  <c r="K273" i="18"/>
  <c r="G273" i="18"/>
  <c r="L229" i="18"/>
  <c r="H229" i="18"/>
  <c r="J186" i="18"/>
  <c r="F186" i="18"/>
  <c r="K143" i="18"/>
  <c r="G143" i="18"/>
  <c r="M186" i="18"/>
  <c r="I186" i="18"/>
  <c r="J143" i="18"/>
  <c r="F143" i="18"/>
  <c r="L186" i="18"/>
  <c r="H186" i="18"/>
  <c r="M143" i="18"/>
  <c r="I143" i="18"/>
  <c r="K186" i="18"/>
  <c r="G186" i="18"/>
  <c r="L143" i="18"/>
  <c r="H143" i="18"/>
  <c r="K100" i="18"/>
  <c r="G100" i="18"/>
  <c r="K64" i="18"/>
  <c r="E64" i="18"/>
  <c r="L64" i="18"/>
  <c r="J100" i="18"/>
  <c r="J64" i="18"/>
  <c r="M64" i="18"/>
  <c r="M100" i="18"/>
  <c r="I100" i="18"/>
  <c r="I64" i="18"/>
  <c r="L100" i="18"/>
  <c r="H100" i="18"/>
  <c r="D64" i="18"/>
  <c r="F64" i="18"/>
  <c r="J28" i="18"/>
  <c r="F28" i="18"/>
  <c r="D28" i="18"/>
  <c r="M28" i="18"/>
  <c r="I28" i="18"/>
  <c r="E28" i="18"/>
  <c r="L28" i="18"/>
  <c r="H28" i="18"/>
  <c r="H64" i="18"/>
  <c r="G64" i="18"/>
  <c r="K28" i="18"/>
  <c r="G28" i="18"/>
  <c r="F88" i="18"/>
  <c r="D88" i="18"/>
  <c r="J261" i="18"/>
  <c r="F261" i="18"/>
  <c r="E88" i="18"/>
  <c r="M261" i="18"/>
  <c r="I261" i="18"/>
  <c r="E261" i="18"/>
  <c r="L261" i="18"/>
  <c r="H261" i="18"/>
  <c r="D261" i="18"/>
  <c r="K261" i="18"/>
  <c r="G261" i="18"/>
  <c r="M217" i="18"/>
  <c r="I217" i="18"/>
  <c r="E217" i="18"/>
  <c r="L174" i="18"/>
  <c r="H174" i="18"/>
  <c r="L217" i="18"/>
  <c r="H217" i="18"/>
  <c r="D217" i="18"/>
  <c r="K174" i="18"/>
  <c r="G174" i="18"/>
  <c r="K217" i="18"/>
  <c r="G217" i="18"/>
  <c r="J174" i="18"/>
  <c r="F174" i="18"/>
  <c r="J217" i="18"/>
  <c r="F217" i="18"/>
  <c r="M174" i="18"/>
  <c r="I174" i="18"/>
  <c r="E174" i="18"/>
  <c r="D174" i="18"/>
  <c r="J131" i="18"/>
  <c r="F131" i="18"/>
  <c r="K88" i="18"/>
  <c r="G88" i="18"/>
  <c r="J52" i="18"/>
  <c r="M131" i="18"/>
  <c r="I131" i="18"/>
  <c r="E131" i="18"/>
  <c r="J88" i="18"/>
  <c r="I52" i="18"/>
  <c r="D52" i="18"/>
  <c r="M52" i="18"/>
  <c r="L131" i="18"/>
  <c r="H131" i="18"/>
  <c r="D131" i="18"/>
  <c r="M88" i="18"/>
  <c r="I88" i="18"/>
  <c r="F52" i="18"/>
  <c r="K131" i="18"/>
  <c r="G131" i="18"/>
  <c r="L88" i="18"/>
  <c r="H88" i="18"/>
  <c r="K52" i="18"/>
  <c r="E52" i="18"/>
  <c r="L52" i="18"/>
  <c r="J16" i="18"/>
  <c r="F16" i="18"/>
  <c r="D16" i="18"/>
  <c r="H52" i="18"/>
  <c r="M16" i="18"/>
  <c r="I16" i="18"/>
  <c r="E16" i="18"/>
  <c r="L16" i="18"/>
  <c r="H16" i="18"/>
  <c r="G52" i="18"/>
  <c r="K16" i="18"/>
  <c r="G16" i="18"/>
  <c r="F92" i="18"/>
  <c r="J265" i="18"/>
  <c r="F265" i="18"/>
  <c r="D265" i="18"/>
  <c r="E92" i="18"/>
  <c r="M265" i="18"/>
  <c r="I265" i="18"/>
  <c r="E265" i="18"/>
  <c r="L265" i="18"/>
  <c r="H265" i="18"/>
  <c r="D92" i="18"/>
  <c r="K265" i="18"/>
  <c r="G265" i="18"/>
  <c r="K221" i="18"/>
  <c r="G221" i="18"/>
  <c r="J178" i="18"/>
  <c r="F178" i="18"/>
  <c r="J221" i="18"/>
  <c r="F221" i="18"/>
  <c r="M178" i="18"/>
  <c r="I178" i="18"/>
  <c r="E178" i="18"/>
  <c r="D178" i="18"/>
  <c r="M221" i="18"/>
  <c r="I221" i="18"/>
  <c r="E221" i="18"/>
  <c r="L178" i="18"/>
  <c r="H178" i="18"/>
  <c r="L221" i="18"/>
  <c r="H221" i="18"/>
  <c r="D221" i="18"/>
  <c r="K178" i="18"/>
  <c r="G178" i="18"/>
  <c r="M135" i="18"/>
  <c r="I135" i="18"/>
  <c r="E135" i="18"/>
  <c r="D135" i="18"/>
  <c r="K92" i="18"/>
  <c r="G92" i="18"/>
  <c r="K56" i="18"/>
  <c r="E56" i="18"/>
  <c r="D56" i="18"/>
  <c r="L56" i="18"/>
  <c r="L135" i="18"/>
  <c r="H135" i="18"/>
  <c r="J92" i="18"/>
  <c r="J56" i="18"/>
  <c r="M56" i="18"/>
  <c r="K135" i="18"/>
  <c r="G135" i="18"/>
  <c r="M92" i="18"/>
  <c r="I92" i="18"/>
  <c r="I56" i="18"/>
  <c r="J135" i="18"/>
  <c r="F135" i="18"/>
  <c r="L92" i="18"/>
  <c r="H92" i="18"/>
  <c r="F56" i="18"/>
  <c r="J20" i="18"/>
  <c r="F20" i="18"/>
  <c r="D20" i="18"/>
  <c r="G56" i="18"/>
  <c r="M20" i="18"/>
  <c r="I20" i="18"/>
  <c r="E20" i="18"/>
  <c r="L20" i="18"/>
  <c r="H20" i="18"/>
  <c r="H56" i="18"/>
  <c r="K20" i="18"/>
  <c r="G20" i="18"/>
  <c r="E142" i="18"/>
  <c r="J272" i="18"/>
  <c r="F272" i="18"/>
  <c r="K228" i="18"/>
  <c r="G228" i="18"/>
  <c r="E272" i="18"/>
  <c r="E99" i="18"/>
  <c r="F142" i="18"/>
  <c r="F99" i="18"/>
  <c r="M272" i="18"/>
  <c r="I272" i="18"/>
  <c r="J228" i="18"/>
  <c r="F228" i="18"/>
  <c r="L272" i="18"/>
  <c r="H272" i="18"/>
  <c r="M228" i="18"/>
  <c r="I228" i="18"/>
  <c r="E228" i="18"/>
  <c r="E185" i="18"/>
  <c r="K272" i="18"/>
  <c r="G272" i="18"/>
  <c r="L228" i="18"/>
  <c r="H228" i="18"/>
  <c r="J185" i="18"/>
  <c r="F185" i="18"/>
  <c r="K142" i="18"/>
  <c r="G142" i="18"/>
  <c r="M185" i="18"/>
  <c r="I185" i="18"/>
  <c r="J142" i="18"/>
  <c r="L185" i="18"/>
  <c r="H185" i="18"/>
  <c r="M142" i="18"/>
  <c r="I142" i="18"/>
  <c r="K185" i="18"/>
  <c r="G185" i="18"/>
  <c r="L142" i="18"/>
  <c r="H142" i="18"/>
  <c r="J99" i="18"/>
  <c r="F63" i="18"/>
  <c r="M99" i="18"/>
  <c r="I99" i="18"/>
  <c r="K63" i="18"/>
  <c r="E63" i="18"/>
  <c r="L63" i="18"/>
  <c r="L99" i="18"/>
  <c r="H99" i="18"/>
  <c r="J63" i="18"/>
  <c r="M63" i="18"/>
  <c r="K99" i="18"/>
  <c r="G99" i="18"/>
  <c r="I63" i="18"/>
  <c r="D63" i="18"/>
  <c r="H63" i="18"/>
  <c r="K27" i="18"/>
  <c r="G27" i="18"/>
  <c r="J27" i="18"/>
  <c r="F27" i="18"/>
  <c r="G63" i="18"/>
  <c r="M27" i="18"/>
  <c r="I27" i="18"/>
  <c r="E27" i="18"/>
  <c r="L27" i="18"/>
  <c r="H27" i="18"/>
  <c r="D27" i="18"/>
  <c r="K268" i="18"/>
  <c r="G268" i="18"/>
  <c r="F95" i="18"/>
  <c r="J268" i="18"/>
  <c r="F268" i="18"/>
  <c r="E95" i="18"/>
  <c r="D95" i="18"/>
  <c r="M268" i="18"/>
  <c r="I268" i="18"/>
  <c r="E268" i="18"/>
  <c r="L268" i="18"/>
  <c r="H268" i="18"/>
  <c r="D268" i="18"/>
  <c r="L224" i="18"/>
  <c r="H224" i="18"/>
  <c r="K181" i="18"/>
  <c r="G181" i="18"/>
  <c r="D181" i="18"/>
  <c r="K224" i="18"/>
  <c r="G224" i="18"/>
  <c r="J181" i="18"/>
  <c r="F181" i="18"/>
  <c r="J224" i="18"/>
  <c r="F224" i="18"/>
  <c r="D224" i="18"/>
  <c r="M181" i="18"/>
  <c r="I181" i="18"/>
  <c r="E181" i="18"/>
  <c r="M224" i="18"/>
  <c r="I224" i="18"/>
  <c r="E224" i="18"/>
  <c r="L181" i="18"/>
  <c r="H181" i="18"/>
  <c r="L138" i="18"/>
  <c r="J138" i="18"/>
  <c r="F138" i="18"/>
  <c r="J95" i="18"/>
  <c r="F59" i="18"/>
  <c r="I138" i="18"/>
  <c r="E138" i="18"/>
  <c r="M95" i="18"/>
  <c r="I95" i="18"/>
  <c r="K59" i="18"/>
  <c r="E59" i="18"/>
  <c r="L59" i="18"/>
  <c r="M138" i="18"/>
  <c r="H138" i="18"/>
  <c r="L95" i="18"/>
  <c r="H95" i="18"/>
  <c r="J59" i="18"/>
  <c r="M59" i="18"/>
  <c r="K138" i="18"/>
  <c r="G138" i="18"/>
  <c r="D138" i="18"/>
  <c r="K95" i="18"/>
  <c r="G95" i="18"/>
  <c r="I59" i="18"/>
  <c r="D59" i="18"/>
  <c r="H59" i="18"/>
  <c r="K23" i="18"/>
  <c r="G23" i="18"/>
  <c r="J23" i="18"/>
  <c r="F23" i="18"/>
  <c r="G59" i="18"/>
  <c r="M23" i="18"/>
  <c r="I23" i="18"/>
  <c r="E23" i="18"/>
  <c r="L23" i="18"/>
  <c r="H23" i="18"/>
  <c r="D23" i="18"/>
  <c r="K264" i="18"/>
  <c r="G264" i="18"/>
  <c r="F91" i="18"/>
  <c r="J264" i="18"/>
  <c r="F264" i="18"/>
  <c r="E91" i="18"/>
  <c r="M264" i="18"/>
  <c r="I264" i="18"/>
  <c r="E264" i="18"/>
  <c r="L264" i="18"/>
  <c r="H264" i="18"/>
  <c r="L220" i="18"/>
  <c r="H220" i="18"/>
  <c r="K177" i="18"/>
  <c r="G177" i="18"/>
  <c r="E134" i="18"/>
  <c r="K220" i="18"/>
  <c r="G220" i="18"/>
  <c r="J177" i="18"/>
  <c r="F177" i="18"/>
  <c r="J220" i="18"/>
  <c r="F220" i="18"/>
  <c r="M177" i="18"/>
  <c r="I177" i="18"/>
  <c r="E177" i="18"/>
  <c r="M220" i="18"/>
  <c r="I220" i="18"/>
  <c r="E220" i="18"/>
  <c r="L177" i="18"/>
  <c r="H177" i="18"/>
  <c r="J134" i="18"/>
  <c r="F134" i="18"/>
  <c r="J91" i="18"/>
  <c r="F55" i="18"/>
  <c r="M134" i="18"/>
  <c r="I134" i="18"/>
  <c r="M91" i="18"/>
  <c r="I91" i="18"/>
  <c r="K55" i="18"/>
  <c r="E55" i="18"/>
  <c r="L55" i="18"/>
  <c r="L134" i="18"/>
  <c r="H134" i="18"/>
  <c r="L91" i="18"/>
  <c r="H91" i="18"/>
  <c r="J55" i="18"/>
  <c r="M55" i="18"/>
  <c r="K134" i="18"/>
  <c r="G134" i="18"/>
  <c r="K91" i="18"/>
  <c r="G91" i="18"/>
  <c r="I55" i="18"/>
  <c r="D55" i="18"/>
  <c r="H55" i="18"/>
  <c r="G55" i="18"/>
  <c r="K19" i="18"/>
  <c r="G19" i="18"/>
  <c r="J19" i="18"/>
  <c r="F19" i="18"/>
  <c r="M19" i="18"/>
  <c r="I19" i="18"/>
  <c r="E19" i="18"/>
  <c r="L19" i="18"/>
  <c r="H19" i="18"/>
  <c r="D19" i="18"/>
  <c r="D260" i="18"/>
  <c r="F258" i="18"/>
  <c r="F216" i="18"/>
  <c r="D214" i="18"/>
  <c r="E173" i="18"/>
  <c r="D171" i="18"/>
  <c r="C41" i="13"/>
  <c r="F130" i="18"/>
  <c r="D128" i="18"/>
  <c r="E85" i="18"/>
  <c r="I49" i="18"/>
  <c r="D51" i="18"/>
  <c r="F51" i="18"/>
  <c r="K260" i="18"/>
  <c r="G260" i="18"/>
  <c r="C101" i="13"/>
  <c r="E258" i="18"/>
  <c r="E216" i="18"/>
  <c r="D173" i="18"/>
  <c r="E130" i="18"/>
  <c r="D87" i="18"/>
  <c r="F87" i="18"/>
  <c r="F49" i="18"/>
  <c r="I51" i="18"/>
  <c r="E51" i="18"/>
  <c r="J260" i="18"/>
  <c r="F260" i="18"/>
  <c r="D258" i="18"/>
  <c r="D216" i="18"/>
  <c r="F214" i="18"/>
  <c r="F171" i="18"/>
  <c r="D130" i="18"/>
  <c r="F128" i="18"/>
  <c r="E87" i="18"/>
  <c r="K49" i="18"/>
  <c r="E49" i="18"/>
  <c r="K51" i="18"/>
  <c r="M260" i="18"/>
  <c r="I260" i="18"/>
  <c r="E260" i="18"/>
  <c r="E214" i="18"/>
  <c r="F173" i="18"/>
  <c r="E171" i="18"/>
  <c r="E128" i="18"/>
  <c r="F85" i="18"/>
  <c r="D85" i="18"/>
  <c r="J49" i="18"/>
  <c r="D49" i="18"/>
  <c r="J51" i="18"/>
  <c r="L260" i="18"/>
  <c r="H260" i="18"/>
  <c r="J216" i="18"/>
  <c r="M173" i="18"/>
  <c r="I173" i="18"/>
  <c r="M216" i="18"/>
  <c r="I216" i="18"/>
  <c r="L173" i="18"/>
  <c r="H173" i="18"/>
  <c r="L216" i="18"/>
  <c r="H216" i="18"/>
  <c r="K173" i="18"/>
  <c r="G173" i="18"/>
  <c r="K216" i="18"/>
  <c r="G216" i="18"/>
  <c r="J173" i="18"/>
  <c r="K130" i="18"/>
  <c r="G130" i="18"/>
  <c r="J87" i="18"/>
  <c r="L51" i="18"/>
  <c r="J130" i="18"/>
  <c r="M87" i="18"/>
  <c r="I87" i="18"/>
  <c r="M130" i="18"/>
  <c r="I130" i="18"/>
  <c r="L87" i="18"/>
  <c r="H87" i="18"/>
  <c r="M51" i="18"/>
  <c r="L130" i="18"/>
  <c r="H130" i="18"/>
  <c r="K87" i="18"/>
  <c r="G87" i="18"/>
  <c r="H51" i="18"/>
  <c r="K15" i="18"/>
  <c r="G15" i="18"/>
  <c r="M15" i="18"/>
  <c r="J15" i="18"/>
  <c r="F15" i="18"/>
  <c r="E15" i="18"/>
  <c r="G51" i="18"/>
  <c r="I15" i="18"/>
  <c r="L15" i="18"/>
  <c r="H15" i="18"/>
  <c r="D15" i="18"/>
  <c r="K14" i="18"/>
  <c r="G14" i="18"/>
  <c r="M14" i="18"/>
  <c r="L14" i="18"/>
  <c r="H14" i="18"/>
  <c r="J14" i="18"/>
  <c r="F14" i="18"/>
  <c r="I14" i="18"/>
  <c r="E14" i="18"/>
  <c r="F101" i="13"/>
  <c r="C102" i="13"/>
  <c r="F102" i="13" s="1"/>
  <c r="C108" i="13"/>
  <c r="F108" i="13" s="1"/>
  <c r="C104" i="13"/>
  <c r="F104" i="13" s="1"/>
  <c r="C109" i="13"/>
  <c r="F109" i="13" s="1"/>
  <c r="C107" i="13"/>
  <c r="F107" i="13" s="1"/>
  <c r="C103" i="13"/>
  <c r="F103" i="13" s="1"/>
  <c r="C106" i="13"/>
  <c r="F106" i="13" s="1"/>
  <c r="C105" i="13"/>
  <c r="F105" i="13" s="1"/>
  <c r="C100" i="13"/>
  <c r="C43" i="13"/>
  <c r="C48" i="13"/>
  <c r="C44" i="13"/>
  <c r="C30" i="13"/>
  <c r="C45" i="13"/>
  <c r="C35" i="13"/>
  <c r="C47" i="13"/>
  <c r="C29" i="13"/>
  <c r="C46" i="13"/>
  <c r="C49" i="13"/>
  <c r="C34" i="13"/>
  <c r="C17" i="13"/>
  <c r="C12" i="13"/>
  <c r="C16" i="13"/>
  <c r="C13" i="13"/>
  <c r="C11" i="13"/>
  <c r="C18" i="13"/>
  <c r="C15" i="13"/>
  <c r="C10" i="13"/>
  <c r="C14" i="13"/>
  <c r="C40" i="13"/>
  <c r="C42" i="13"/>
  <c r="C32" i="13"/>
  <c r="C26" i="13"/>
  <c r="C27" i="13"/>
  <c r="C33" i="13"/>
  <c r="C31" i="13"/>
  <c r="C28" i="13"/>
  <c r="D32" i="13"/>
  <c r="D31" i="13"/>
  <c r="D33" i="13"/>
  <c r="D34" i="13"/>
  <c r="D35" i="13"/>
  <c r="M41" i="18" s="1"/>
  <c r="M42" i="18" s="1"/>
  <c r="M43" i="18" s="1"/>
  <c r="E93" i="13"/>
  <c r="E47" i="13"/>
  <c r="E78" i="13"/>
  <c r="E86" i="13"/>
  <c r="E94" i="13"/>
  <c r="E71" i="13"/>
  <c r="E79" i="13"/>
  <c r="E62" i="13"/>
  <c r="E91" i="13"/>
  <c r="E60" i="13"/>
  <c r="E59" i="13"/>
  <c r="E85" i="13"/>
  <c r="E75" i="13"/>
  <c r="E87" i="13"/>
  <c r="E57" i="13"/>
  <c r="E92" i="13"/>
  <c r="E55" i="13"/>
  <c r="E77" i="13"/>
  <c r="E89" i="13"/>
  <c r="E76" i="13"/>
  <c r="E61" i="13"/>
  <c r="E74" i="13"/>
  <c r="E88" i="13"/>
  <c r="E73" i="13"/>
  <c r="E56" i="13"/>
  <c r="E72" i="13"/>
  <c r="E90" i="13"/>
  <c r="E70" i="13"/>
  <c r="E64" i="13"/>
  <c r="E63" i="13"/>
  <c r="E58" i="13"/>
  <c r="E28" i="13"/>
  <c r="E49" i="13"/>
  <c r="E13" i="13"/>
  <c r="E18" i="13"/>
  <c r="E9" i="13"/>
  <c r="E29" i="13"/>
  <c r="E30" i="13"/>
  <c r="E26" i="13"/>
  <c r="E44" i="13"/>
  <c r="E43" i="13"/>
  <c r="E41" i="13"/>
  <c r="E27" i="13"/>
  <c r="E14" i="13"/>
  <c r="E10" i="13"/>
  <c r="E45" i="13"/>
  <c r="E48" i="13"/>
  <c r="E46" i="13"/>
  <c r="E17" i="13"/>
  <c r="E11" i="13"/>
  <c r="E15" i="13"/>
  <c r="E16" i="13"/>
  <c r="E12" i="13"/>
  <c r="E40" i="13"/>
  <c r="E42" i="13"/>
  <c r="E35" i="13"/>
  <c r="D31" i="18" l="1"/>
  <c r="G31" i="18"/>
  <c r="G32" i="18" s="1"/>
  <c r="M189" i="18"/>
  <c r="M190" i="18" s="1"/>
  <c r="J103" i="18"/>
  <c r="J104" i="18" s="1"/>
  <c r="F63" i="13"/>
  <c r="F60" i="13"/>
  <c r="I31" i="18"/>
  <c r="I32" i="18" s="1"/>
  <c r="K103" i="18"/>
  <c r="K104" i="18" s="1"/>
  <c r="E31" i="18"/>
  <c r="E32" i="18" s="1"/>
  <c r="J31" i="18"/>
  <c r="J32" i="18" s="1"/>
  <c r="K31" i="18"/>
  <c r="K32" i="18" s="1"/>
  <c r="I103" i="18"/>
  <c r="I104" i="18" s="1"/>
  <c r="H31" i="18"/>
  <c r="H32" i="18" s="1"/>
  <c r="L31" i="18"/>
  <c r="L32" i="18" s="1"/>
  <c r="F31" i="18"/>
  <c r="F32" i="18" s="1"/>
  <c r="M31" i="18"/>
  <c r="M32" i="18" s="1"/>
  <c r="E33" i="13"/>
  <c r="F33" i="13" s="1"/>
  <c r="K41" i="18"/>
  <c r="K42" i="18" s="1"/>
  <c r="K43" i="18" s="1"/>
  <c r="D146" i="18"/>
  <c r="E31" i="13"/>
  <c r="F31" i="13" s="1"/>
  <c r="I41" i="18"/>
  <c r="I42" i="18" s="1"/>
  <c r="I43" i="18" s="1"/>
  <c r="D232" i="18"/>
  <c r="D233" i="18" s="1"/>
  <c r="D234" i="18" s="1"/>
  <c r="E32" i="13"/>
  <c r="J41" i="18"/>
  <c r="J42" i="18" s="1"/>
  <c r="J43" i="18" s="1"/>
  <c r="E34" i="13"/>
  <c r="F34" i="13" s="1"/>
  <c r="L41" i="18"/>
  <c r="L42" i="18" s="1"/>
  <c r="L43" i="18" s="1"/>
  <c r="D189" i="18"/>
  <c r="D190" i="18" s="1"/>
  <c r="D191" i="18" s="1"/>
  <c r="M67" i="18"/>
  <c r="M68" i="18" s="1"/>
  <c r="G146" i="18"/>
  <c r="G147" i="18" s="1"/>
  <c r="I146" i="18"/>
  <c r="I147" i="18" s="1"/>
  <c r="J189" i="18"/>
  <c r="J190" i="18" s="1"/>
  <c r="G189" i="18"/>
  <c r="G190" i="18" s="1"/>
  <c r="I232" i="18"/>
  <c r="I233" i="18" s="1"/>
  <c r="K276" i="18"/>
  <c r="K277" i="18" s="1"/>
  <c r="J67" i="18"/>
  <c r="E189" i="18"/>
  <c r="E190" i="18" s="1"/>
  <c r="F103" i="18"/>
  <c r="F104" i="18" s="1"/>
  <c r="E276" i="18"/>
  <c r="E277" i="18" s="1"/>
  <c r="K146" i="18"/>
  <c r="K147" i="18" s="1"/>
  <c r="H103" i="18"/>
  <c r="H104" i="18" s="1"/>
  <c r="M146" i="18"/>
  <c r="M147" i="18" s="1"/>
  <c r="J146" i="18"/>
  <c r="J147" i="18" s="1"/>
  <c r="K189" i="18"/>
  <c r="K190" i="18" s="1"/>
  <c r="H189" i="18"/>
  <c r="H190" i="18" s="1"/>
  <c r="M232" i="18"/>
  <c r="M233" i="18" s="1"/>
  <c r="E67" i="18"/>
  <c r="E68" i="18" s="1"/>
  <c r="E103" i="18"/>
  <c r="E104" i="18" s="1"/>
  <c r="F146" i="18"/>
  <c r="F147" i="18" s="1"/>
  <c r="F232" i="18"/>
  <c r="F233" i="18" s="1"/>
  <c r="I67" i="18"/>
  <c r="L67" i="18"/>
  <c r="H146" i="18"/>
  <c r="H147" i="18" s="1"/>
  <c r="L103" i="18"/>
  <c r="L104" i="18" s="1"/>
  <c r="H67" i="18"/>
  <c r="H68" i="18" s="1"/>
  <c r="J232" i="18"/>
  <c r="J233" i="18" s="1"/>
  <c r="G232" i="18"/>
  <c r="G233" i="18" s="1"/>
  <c r="H232" i="18"/>
  <c r="H233" i="18" s="1"/>
  <c r="L189" i="18"/>
  <c r="L190" i="18" s="1"/>
  <c r="H276" i="18"/>
  <c r="H277" i="18" s="1"/>
  <c r="I276" i="18"/>
  <c r="I277" i="18" s="1"/>
  <c r="J276" i="18"/>
  <c r="J277" i="18" s="1"/>
  <c r="K67" i="18"/>
  <c r="E146" i="18"/>
  <c r="E147" i="18" s="1"/>
  <c r="E232" i="18"/>
  <c r="E233" i="18" s="1"/>
  <c r="D103" i="18"/>
  <c r="D104" i="18" s="1"/>
  <c r="D105" i="18" s="1"/>
  <c r="G103" i="18"/>
  <c r="G104" i="18" s="1"/>
  <c r="L146" i="18"/>
  <c r="L147" i="18" s="1"/>
  <c r="G67" i="18"/>
  <c r="G68" i="18" s="1"/>
  <c r="M103" i="18"/>
  <c r="M104" i="18" s="1"/>
  <c r="I189" i="18"/>
  <c r="I190" i="18" s="1"/>
  <c r="K232" i="18"/>
  <c r="K233" i="18" s="1"/>
  <c r="L232" i="18"/>
  <c r="L233" i="18" s="1"/>
  <c r="G276" i="18"/>
  <c r="G277" i="18" s="1"/>
  <c r="L276" i="18"/>
  <c r="L277" i="18" s="1"/>
  <c r="M276" i="18"/>
  <c r="M277" i="18" s="1"/>
  <c r="D67" i="18"/>
  <c r="D68" i="18" s="1"/>
  <c r="D69" i="18" s="1"/>
  <c r="F276" i="18"/>
  <c r="F277" i="18" s="1"/>
  <c r="F67" i="18"/>
  <c r="F68" i="18" s="1"/>
  <c r="F189" i="18"/>
  <c r="F190" i="18" s="1"/>
  <c r="D276" i="18"/>
  <c r="D277" i="18" s="1"/>
  <c r="D278" i="18" s="1"/>
  <c r="D32" i="18"/>
  <c r="D33" i="18" s="1"/>
  <c r="F15" i="13"/>
  <c r="F89" i="13"/>
  <c r="C110" i="13"/>
  <c r="E15" i="24" s="1"/>
  <c r="F100" i="13"/>
  <c r="F110" i="13" s="1"/>
  <c r="F59" i="13"/>
  <c r="F30" i="13"/>
  <c r="F49" i="13"/>
  <c r="F64" i="13"/>
  <c r="F62" i="13"/>
  <c r="F58" i="13"/>
  <c r="F61" i="13"/>
  <c r="F56" i="13"/>
  <c r="F57" i="13"/>
  <c r="C65" i="13"/>
  <c r="E12" i="24" s="1"/>
  <c r="F76" i="13"/>
  <c r="F18" i="13"/>
  <c r="F17" i="13"/>
  <c r="F10" i="13"/>
  <c r="F43" i="13"/>
  <c r="F27" i="13"/>
  <c r="F75" i="13"/>
  <c r="F46" i="13"/>
  <c r="F94" i="13"/>
  <c r="F28" i="13"/>
  <c r="F16" i="13"/>
  <c r="F14" i="13"/>
  <c r="F44" i="13"/>
  <c r="F74" i="13"/>
  <c r="F77" i="13"/>
  <c r="F35" i="13"/>
  <c r="F13" i="13"/>
  <c r="F12" i="13"/>
  <c r="F48" i="13"/>
  <c r="F29" i="13"/>
  <c r="F91" i="13"/>
  <c r="F93" i="13"/>
  <c r="C95" i="13"/>
  <c r="E14" i="24" s="1"/>
  <c r="F11" i="13"/>
  <c r="F45" i="13"/>
  <c r="F73" i="13"/>
  <c r="F92" i="13"/>
  <c r="F47" i="13"/>
  <c r="F72" i="13"/>
  <c r="F87" i="13"/>
  <c r="F71" i="13"/>
  <c r="C36" i="13"/>
  <c r="E10" i="24" s="1"/>
  <c r="F42" i="13"/>
  <c r="F55" i="13"/>
  <c r="E65" i="13"/>
  <c r="G12" i="24" s="1"/>
  <c r="E50" i="13"/>
  <c r="G11" i="24" s="1"/>
  <c r="F40" i="13"/>
  <c r="F41" i="13"/>
  <c r="F26" i="13"/>
  <c r="F9" i="13"/>
  <c r="E19" i="13"/>
  <c r="G9" i="24" s="1"/>
  <c r="F70" i="13"/>
  <c r="E80" i="13"/>
  <c r="G13" i="24" s="1"/>
  <c r="F85" i="13"/>
  <c r="E95" i="13"/>
  <c r="G14" i="24" s="1"/>
  <c r="F86" i="13"/>
  <c r="C50" i="13"/>
  <c r="E11" i="24" s="1"/>
  <c r="C80" i="13"/>
  <c r="E13" i="24" s="1"/>
  <c r="F90" i="13"/>
  <c r="F88" i="13"/>
  <c r="F79" i="13"/>
  <c r="F78" i="13"/>
  <c r="C19" i="13"/>
  <c r="E9" i="24" s="1"/>
  <c r="J68" i="18" l="1"/>
  <c r="D147" i="18"/>
  <c r="D148" i="18" s="1"/>
  <c r="E148" i="18" s="1"/>
  <c r="F148" i="18" s="1"/>
  <c r="G148" i="18" s="1"/>
  <c r="H148" i="18" s="1"/>
  <c r="I148" i="18" s="1"/>
  <c r="J148" i="18" s="1"/>
  <c r="K148" i="18" s="1"/>
  <c r="L148" i="18" s="1"/>
  <c r="M148" i="18" s="1"/>
  <c r="I68" i="18"/>
  <c r="E33" i="18"/>
  <c r="F33" i="18" s="1"/>
  <c r="G33" i="18" s="1"/>
  <c r="H33" i="18" s="1"/>
  <c r="I33" i="18" s="1"/>
  <c r="J33" i="18" s="1"/>
  <c r="K33" i="18" s="1"/>
  <c r="L33" i="18" s="1"/>
  <c r="M33" i="18" s="1"/>
  <c r="K68" i="18"/>
  <c r="E36" i="13"/>
  <c r="G10" i="24" s="1"/>
  <c r="F32" i="13"/>
  <c r="F36" i="13" s="1"/>
  <c r="E234" i="18"/>
  <c r="F234" i="18" s="1"/>
  <c r="G234" i="18" s="1"/>
  <c r="H234" i="18" s="1"/>
  <c r="I234" i="18" s="1"/>
  <c r="J234" i="18" s="1"/>
  <c r="K234" i="18" s="1"/>
  <c r="L234" i="18" s="1"/>
  <c r="M234" i="18" s="1"/>
  <c r="E105" i="18"/>
  <c r="F105" i="18" s="1"/>
  <c r="G105" i="18" s="1"/>
  <c r="H105" i="18" s="1"/>
  <c r="I105" i="18" s="1"/>
  <c r="J105" i="18" s="1"/>
  <c r="K105" i="18" s="1"/>
  <c r="L105" i="18" s="1"/>
  <c r="M105" i="18" s="1"/>
  <c r="L68" i="18"/>
  <c r="E69" i="18"/>
  <c r="F69" i="18" s="1"/>
  <c r="G69" i="18" s="1"/>
  <c r="H69" i="18" s="1"/>
  <c r="E191" i="18"/>
  <c r="F191" i="18" s="1"/>
  <c r="G191" i="18" s="1"/>
  <c r="H191" i="18" s="1"/>
  <c r="I191" i="18" s="1"/>
  <c r="J191" i="18" s="1"/>
  <c r="K191" i="18" s="1"/>
  <c r="L191" i="18" s="1"/>
  <c r="M191" i="18" s="1"/>
  <c r="E278" i="18"/>
  <c r="F278" i="18" s="1"/>
  <c r="G278" i="18" s="1"/>
  <c r="H278" i="18" s="1"/>
  <c r="I278" i="18" s="1"/>
  <c r="J278" i="18" s="1"/>
  <c r="K278" i="18" s="1"/>
  <c r="L278" i="18" s="1"/>
  <c r="M278" i="18" s="1"/>
  <c r="G100" i="13"/>
  <c r="G101" i="13" s="1"/>
  <c r="G102" i="13" s="1"/>
  <c r="G103" i="13" s="1"/>
  <c r="G104" i="13" s="1"/>
  <c r="G105" i="13" s="1"/>
  <c r="G106" i="13" s="1"/>
  <c r="G107" i="13" s="1"/>
  <c r="G108" i="13" s="1"/>
  <c r="G109" i="13" s="1"/>
  <c r="G110" i="13" s="1"/>
  <c r="H15" i="24" s="1"/>
  <c r="F80" i="13"/>
  <c r="G70" i="13"/>
  <c r="G71" i="13" s="1"/>
  <c r="G72" i="13" s="1"/>
  <c r="G73" i="13" s="1"/>
  <c r="G74" i="13" s="1"/>
  <c r="G75" i="13" s="1"/>
  <c r="G76" i="13" s="1"/>
  <c r="G77" i="13" s="1"/>
  <c r="G78" i="13" s="1"/>
  <c r="G79" i="13" s="1"/>
  <c r="G80" i="13" s="1"/>
  <c r="H13" i="24" s="1"/>
  <c r="G26" i="13"/>
  <c r="G27" i="13" s="1"/>
  <c r="G28" i="13" s="1"/>
  <c r="G29" i="13" s="1"/>
  <c r="G30" i="13" s="1"/>
  <c r="G55" i="13"/>
  <c r="G56" i="13" s="1"/>
  <c r="G57" i="13" s="1"/>
  <c r="G58" i="13" s="1"/>
  <c r="G59" i="13" s="1"/>
  <c r="G60" i="13" s="1"/>
  <c r="G61" i="13" s="1"/>
  <c r="G62" i="13" s="1"/>
  <c r="G63" i="13" s="1"/>
  <c r="G64" i="13" s="1"/>
  <c r="G65" i="13" s="1"/>
  <c r="H12" i="24" s="1"/>
  <c r="F65" i="13"/>
  <c r="G85" i="13"/>
  <c r="G86" i="13" s="1"/>
  <c r="G87" i="13" s="1"/>
  <c r="G88" i="13" s="1"/>
  <c r="G89" i="13" s="1"/>
  <c r="G90" i="13" s="1"/>
  <c r="G91" i="13" s="1"/>
  <c r="G92" i="13" s="1"/>
  <c r="G93" i="13" s="1"/>
  <c r="G94" i="13" s="1"/>
  <c r="G95" i="13" s="1"/>
  <c r="H14" i="24" s="1"/>
  <c r="F95" i="13"/>
  <c r="G9" i="13"/>
  <c r="G10" i="13" s="1"/>
  <c r="G11" i="13" s="1"/>
  <c r="G12" i="13" s="1"/>
  <c r="G13" i="13" s="1"/>
  <c r="G14" i="13" s="1"/>
  <c r="G15" i="13" s="1"/>
  <c r="G16" i="13" s="1"/>
  <c r="G17" i="13" s="1"/>
  <c r="G18" i="13" s="1"/>
  <c r="G19" i="13" s="1"/>
  <c r="H9" i="24" s="1"/>
  <c r="F19" i="13"/>
  <c r="F50" i="13"/>
  <c r="G40" i="13"/>
  <c r="G41" i="13" s="1"/>
  <c r="G42" i="13" s="1"/>
  <c r="G43" i="13" s="1"/>
  <c r="G44" i="13" s="1"/>
  <c r="G45" i="13" s="1"/>
  <c r="G46" i="13" s="1"/>
  <c r="G47" i="13" s="1"/>
  <c r="G48" i="13" s="1"/>
  <c r="G49" i="13" s="1"/>
  <c r="G50" i="13" s="1"/>
  <c r="H11" i="24" s="1"/>
  <c r="I69" i="18" l="1"/>
  <c r="J69" i="18" s="1"/>
  <c r="K69" i="18" s="1"/>
  <c r="L69" i="18" s="1"/>
  <c r="M69" i="18" s="1"/>
  <c r="G31" i="13"/>
  <c r="G32" i="13" s="1"/>
  <c r="G33" i="13" s="1"/>
  <c r="G34" i="13" s="1"/>
  <c r="G35" i="13" s="1"/>
  <c r="G36" i="13" s="1"/>
  <c r="H10" i="24" s="1"/>
</calcChain>
</file>

<file path=xl/sharedStrings.xml><?xml version="1.0" encoding="utf-8"?>
<sst xmlns="http://schemas.openxmlformats.org/spreadsheetml/2006/main" count="825" uniqueCount="269">
  <si>
    <t>Fertilizer</t>
  </si>
  <si>
    <t>Mowing</t>
  </si>
  <si>
    <t>Input</t>
  </si>
  <si>
    <t>Vines, mowed</t>
  </si>
  <si>
    <t>Yield</t>
  </si>
  <si>
    <t>Year 1</t>
  </si>
  <si>
    <t>Year</t>
  </si>
  <si>
    <t>Herbicide</t>
  </si>
  <si>
    <t>Insecticide</t>
  </si>
  <si>
    <t>Fungicide</t>
  </si>
  <si>
    <t>Expenses</t>
  </si>
  <si>
    <t>Revenue</t>
  </si>
  <si>
    <t>Fuel</t>
  </si>
  <si>
    <t>Debt payments</t>
  </si>
  <si>
    <t>Insurance</t>
  </si>
  <si>
    <t>Leveling/Fill</t>
  </si>
  <si>
    <t>Drainage/Irrigation</t>
  </si>
  <si>
    <t>Planting</t>
  </si>
  <si>
    <t xml:space="preserve">Scalping </t>
  </si>
  <si>
    <t>Pollination</t>
  </si>
  <si>
    <t>Pruning</t>
  </si>
  <si>
    <t xml:space="preserve">Tissue Sampling </t>
  </si>
  <si>
    <t>IPM consulting</t>
  </si>
  <si>
    <t>COSTS OF PRODUCTION</t>
  </si>
  <si>
    <t>Default Cost 
($/acre)</t>
  </si>
  <si>
    <t>Grower Cost 
($/acre)</t>
  </si>
  <si>
    <t>Assumptions</t>
  </si>
  <si>
    <t>CURATIVE MANAGEMENT</t>
  </si>
  <si>
    <t>RENOVATION</t>
  </si>
  <si>
    <t>REVENUE</t>
  </si>
  <si>
    <t>Expected returns</t>
  </si>
  <si>
    <t>Total</t>
  </si>
  <si>
    <t>Labour, general</t>
  </si>
  <si>
    <t>Labour, harvest</t>
  </si>
  <si>
    <t>For Analysis</t>
  </si>
  <si>
    <t>FARM</t>
  </si>
  <si>
    <t>BOG</t>
  </si>
  <si>
    <t>Annual 
Profit</t>
  </si>
  <si>
    <t>Acres, mowed bog</t>
  </si>
  <si>
    <t>Yield, mowed bog (bbl/acre)</t>
  </si>
  <si>
    <t>Default Value</t>
  </si>
  <si>
    <t>Grower Value</t>
  </si>
  <si>
    <t>BASE COSTS</t>
  </si>
  <si>
    <t>SANDING, 5-YEAR CYCLE</t>
  </si>
  <si>
    <t>MOWING, 10 YEAR CYCLE</t>
  </si>
  <si>
    <t>VINES, ON-FARM SOURCE</t>
  </si>
  <si>
    <t>VINES, OFF-FARM SOURCE</t>
  </si>
  <si>
    <t>Cumulative
Profit</t>
  </si>
  <si>
    <t>PRODUCTION INPUTS &amp; COSTS</t>
  </si>
  <si>
    <t>Sand, 1 inch</t>
  </si>
  <si>
    <t>every 5 years; $1200 for half inch</t>
  </si>
  <si>
    <t>Yield, average (bbl/acre)</t>
  </si>
  <si>
    <t>Bog size (acres)</t>
  </si>
  <si>
    <t>BOG DETAILS</t>
  </si>
  <si>
    <t>PROFIT SUMMARY</t>
  </si>
  <si>
    <t>BGs</t>
  </si>
  <si>
    <t>99-25</t>
  </si>
  <si>
    <t>Y2</t>
  </si>
  <si>
    <t>Y3</t>
  </si>
  <si>
    <t>Y4</t>
  </si>
  <si>
    <t>Y5</t>
  </si>
  <si>
    <t>Y6</t>
  </si>
  <si>
    <t>Y7</t>
  </si>
  <si>
    <t>Y8</t>
  </si>
  <si>
    <t>Y9</t>
  </si>
  <si>
    <t>Y10</t>
  </si>
  <si>
    <t>Y1</t>
  </si>
  <si>
    <t xml:space="preserve">VARIETY: </t>
  </si>
  <si>
    <t>CRIMSON QUEEN</t>
  </si>
  <si>
    <t>HAINES</t>
  </si>
  <si>
    <t>WELKER</t>
  </si>
  <si>
    <t>VALLEY KING</t>
  </si>
  <si>
    <t>DEMORANVILLE</t>
  </si>
  <si>
    <t>VARIETY</t>
  </si>
  <si>
    <t>MULLICA QUEEN</t>
  </si>
  <si>
    <t>CURRENT STATE</t>
  </si>
  <si>
    <t>bbl/acre</t>
  </si>
  <si>
    <t>CURRENT YIELD</t>
  </si>
  <si>
    <t>EXPECTED RETURN</t>
  </si>
  <si>
    <t>Loss in production of mowed field, based on grower input data</t>
  </si>
  <si>
    <t>Lost revenue from mowed bog</t>
  </si>
  <si>
    <t>Soil</t>
  </si>
  <si>
    <t>Plug trays</t>
  </si>
  <si>
    <t>Shipping</t>
  </si>
  <si>
    <t>EXCHANGE RATE</t>
  </si>
  <si>
    <t>USD</t>
  </si>
  <si>
    <t>CAD</t>
  </si>
  <si>
    <t>Default Rate</t>
  </si>
  <si>
    <t>Current Rate</t>
  </si>
  <si>
    <t>CAD/bbl</t>
  </si>
  <si>
    <t>Rutgers</t>
  </si>
  <si>
    <t>Valley Corp</t>
  </si>
  <si>
    <t xml:space="preserve">http://www.cranberryvine.com/cranberry-varieties </t>
  </si>
  <si>
    <t xml:space="preserve">http://agproducts.rutgers.edu/cranberries/varieties.html </t>
  </si>
  <si>
    <t>CAD for $1.00 USD</t>
  </si>
  <si>
    <t>Exchange</t>
  </si>
  <si>
    <t xml:space="preserve">OFF-PATENT VARIETY: </t>
  </si>
  <si>
    <t>PLUGS, OFF-PATENT &amp; SELF-GROWN</t>
  </si>
  <si>
    <t>Labour, growing plugs</t>
  </si>
  <si>
    <t>Growing costs (fertilizer, pesticide, water)</t>
  </si>
  <si>
    <t>$10 per 25 trays, 128 plugs per tray, 45000 plugs per acre</t>
  </si>
  <si>
    <t>$2 per tray, 128 plugs per tray, 45000 plugs per acre</t>
  </si>
  <si>
    <t>5-7 cents per plug</t>
  </si>
  <si>
    <t>$15-17 per hour, 4-5 trays per hour, 128 plugs per tray, 45000 trays pre acre</t>
  </si>
  <si>
    <t>BREEDER</t>
  </si>
  <si>
    <t>BOG INFORMATION</t>
  </si>
  <si>
    <t>See Variety Data for details.</t>
  </si>
  <si>
    <t>BREAK-EVEN YIELD</t>
  </si>
  <si>
    <r>
      <rPr>
        <sz val="12"/>
        <color theme="1"/>
        <rFont val="Calibri (Body)"/>
      </rPr>
      <t xml:space="preserve">For the current rate:  </t>
    </r>
    <r>
      <rPr>
        <u/>
        <sz val="12"/>
        <color theme="10"/>
        <rFont val="Calibri"/>
        <family val="2"/>
        <scheme val="minor"/>
      </rPr>
      <t>https://www.bankofcanada.ca/rates/exchange/daily-exchange-rates/</t>
    </r>
  </si>
  <si>
    <t>INSTRUCTIONS</t>
  </si>
  <si>
    <t>Default Cash Price 
($ USD/bbl)</t>
  </si>
  <si>
    <t>Average Cash Price
($ USD/bbl)</t>
  </si>
  <si>
    <t>STEVENS</t>
  </si>
  <si>
    <t>Valley Corporation</t>
  </si>
  <si>
    <t>Cash Price 
($ CAD/bbl)</t>
  </si>
  <si>
    <t>DETAILED FINANCIAL REPORTS</t>
  </si>
  <si>
    <t>Income</t>
  </si>
  <si>
    <t>Yield (bbl/acre)</t>
  </si>
  <si>
    <t>Input Costs</t>
  </si>
  <si>
    <t>Total Input Costs</t>
  </si>
  <si>
    <t>Total Income</t>
  </si>
  <si>
    <t>Annual Profit</t>
  </si>
  <si>
    <t>Cumulative Profit</t>
  </si>
  <si>
    <t>Vines</t>
  </si>
  <si>
    <t>Plugs</t>
  </si>
  <si>
    <t>Extra labour, general</t>
  </si>
  <si>
    <t>Extra herbicide</t>
  </si>
  <si>
    <t>BERGMAN</t>
  </si>
  <si>
    <t>OBJECTIVE</t>
  </si>
  <si>
    <t>To provide a tool to calculate return on investment of cranberry production management options, including current state, curative management and renovation. This tool is meant to act as a guide when considering management options. Default input costs are provided and are based on the average cranberry farm in BC. For more accurate calculations, it is recommended that growers input the actual costs incurred on their farm.</t>
  </si>
  <si>
    <t>CONTACT EMAIL</t>
  </si>
  <si>
    <t>DEVELOPER</t>
  </si>
  <si>
    <t>Kaitlyn Schurmann</t>
  </si>
  <si>
    <t>ESTIMATED ANNUAL YIELD (BBL/ACRE)</t>
  </si>
  <si>
    <t>REFERENCES</t>
  </si>
  <si>
    <t>CONSIDERATIONS</t>
  </si>
  <si>
    <t>PLANNING FOR THE FUTURE</t>
  </si>
  <si>
    <t>LIABILITY RISK</t>
  </si>
  <si>
    <t>OTHER COSTS</t>
  </si>
  <si>
    <t>https://www.fcc-fac.ca/en/resources/calculators.html</t>
  </si>
  <si>
    <t>Here is a basic loan calculator to help envision the cost of borrowing:</t>
  </si>
  <si>
    <t>PLUGS, PURCHASED</t>
  </si>
  <si>
    <t>VARIETY YIELD PROJECTIONS</t>
  </si>
  <si>
    <t>CALCULATOR ASSUMPTIONS</t>
  </si>
  <si>
    <t>ALL CURATIVE MANAGEMENT &amp; RENOVATION SCENARIOS</t>
  </si>
  <si>
    <t>SANDING, 5 YEAR CYCLE</t>
  </si>
  <si>
    <t>ALL RENOVATION SCENARIOS</t>
  </si>
  <si>
    <t>MANAGEMENT OPTIONS</t>
  </si>
  <si>
    <t>NOTE</t>
  </si>
  <si>
    <t>ADDITIONAL BREEDER INFORMATION</t>
  </si>
  <si>
    <t>EQUIPMENT</t>
  </si>
  <si>
    <t xml:space="preserve">Due to the variability in equipment needs, costs, farm size and other considerations, equipment costs are not direct inputs in this tool. Factors to consider when adding equipment costs include: </t>
  </si>
  <si>
    <r>
      <t xml:space="preserve">Select the </t>
    </r>
    <r>
      <rPr>
        <b/>
        <sz val="12"/>
        <color theme="1"/>
        <rFont val="Calibri"/>
        <family val="2"/>
        <scheme val="minor"/>
      </rPr>
      <t>1. Inputs</t>
    </r>
    <r>
      <rPr>
        <sz val="12"/>
        <color theme="1"/>
        <rFont val="Calibri"/>
        <family val="2"/>
        <scheme val="minor"/>
      </rPr>
      <t xml:space="preserve"> tab and fill in the blue boxes with inputs specific to your operation. Values should be supplied per acre and in Canadian dollars. Input costs that are not listed can be added to each management scenario using the Additional Cost #1 and #2 boxes.</t>
    </r>
  </si>
  <si>
    <r>
      <t xml:space="preserve">Select the </t>
    </r>
    <r>
      <rPr>
        <b/>
        <sz val="12"/>
        <color theme="1"/>
        <rFont val="Calibri"/>
        <family val="2"/>
        <scheme val="minor"/>
      </rPr>
      <t>2. Return on Investment Summary</t>
    </r>
    <r>
      <rPr>
        <sz val="12"/>
        <color theme="1"/>
        <rFont val="Calibri"/>
        <family val="2"/>
        <scheme val="minor"/>
      </rPr>
      <t xml:space="preserve"> tab to view annual expenses, revenue, profit and cumulative 10-year profit for each management scenario.</t>
    </r>
  </si>
  <si>
    <r>
      <t xml:space="preserve">Vary the values provided on the </t>
    </r>
    <r>
      <rPr>
        <b/>
        <sz val="12"/>
        <color theme="1"/>
        <rFont val="Calibri"/>
        <family val="2"/>
        <scheme val="minor"/>
      </rPr>
      <t>1. Inputs</t>
    </r>
    <r>
      <rPr>
        <sz val="12"/>
        <color theme="1"/>
        <rFont val="Calibri"/>
        <family val="2"/>
        <scheme val="minor"/>
      </rPr>
      <t xml:space="preserve"> tab to see how changes in yield, cash price and inputs costs affect the return on investment. </t>
    </r>
  </si>
  <si>
    <t>This tool has been developed and provided for general informational purposes only. Any reliance placed on this tool is at your own risk. The authors and developer accept no responsibility or liability for the use of this tool or reliance on this tool.</t>
  </si>
  <si>
    <t>- Is cranberry farming a lifestyle that you would continue regardless of profit?</t>
  </si>
  <si>
    <t>- Do you have other business profits and need to show farm losses for tax purposes?</t>
  </si>
  <si>
    <t>- Is your goal to improve your farm profit structure so that you can sell it in the future?</t>
  </si>
  <si>
    <t xml:space="preserve">- Is your goal to hold on to the farm with minimal expenditures into the future? </t>
  </si>
  <si>
    <t>- Does your farm have intrinsic real estate value regardless of the productivity of the cranberry land (e.g. any improvement to cranberry productivity will have minimal net value the future sale of the property)?</t>
  </si>
  <si>
    <t>- Is your farm a limited partnership with the goal to continue as a cranberry farm for as long as possible? How important are net profits for this partnership?</t>
  </si>
  <si>
    <t>- Will equipment be purchased or will contractors be hired?</t>
  </si>
  <si>
    <t>- If purchased, how will your account of amortization and depreciation?</t>
  </si>
  <si>
    <t>- How often will the equipment be used and how does that breakdown into per acre costs?</t>
  </si>
  <si>
    <t>Property taxes</t>
  </si>
  <si>
    <t>Maintenance &amp; repair</t>
  </si>
  <si>
    <t>Additional Base Cost #1</t>
  </si>
  <si>
    <t>Additional Base Cost #2</t>
  </si>
  <si>
    <t>Additional Sanding Cost #1</t>
  </si>
  <si>
    <t>Additional Sanding Cost #2</t>
  </si>
  <si>
    <t>Additional Mowing Cost #1</t>
  </si>
  <si>
    <t>Additional Mowing Cost #2</t>
  </si>
  <si>
    <t>Additional Vines, On-Farm Cost #1</t>
  </si>
  <si>
    <t>Additional Vines, On-Farm Cost #2</t>
  </si>
  <si>
    <t>Additional Vines, Off-Farm Cost #2</t>
  </si>
  <si>
    <t>Additional Plugs, Patented Cost #2</t>
  </si>
  <si>
    <t>Additional Plugs, Off-Patent &amp; Self-Grown Cost #1</t>
  </si>
  <si>
    <t>Additional Plugs, Off-Patent &amp; Self-Grown Cost #2</t>
  </si>
  <si>
    <t>pattenk.wsu@gmail.com</t>
  </si>
  <si>
    <t>PROJECT LEAD</t>
  </si>
  <si>
    <t>COLLABORATORS</t>
  </si>
  <si>
    <t>Kim Patten</t>
  </si>
  <si>
    <t>- Does the farm need to be sustainable (profitable) for future generations?</t>
  </si>
  <si>
    <t>- How many years do you anticipating farming in the future?</t>
  </si>
  <si>
    <t>- Are your children/heirs interesting in farming?</t>
  </si>
  <si>
    <t>- Will the farm will be sold upon your death?</t>
  </si>
  <si>
    <t>DEBT</t>
  </si>
  <si>
    <t>Debt payments is included as a base input cost. However, including a constant value for debt payments is a simplistic approach that may not accurately reflect changing debt loads. It is important to consider the cost of borrowing. For example, a $30,000 loan will cost an additional $8,000 in interest over 10 years at an interest rate of 5% with monthly payments.</t>
  </si>
  <si>
    <t>QUESTIONS</t>
  </si>
  <si>
    <t>Things to think about during a Farm Succession Plan meeting:</t>
  </si>
  <si>
    <t>Bed renovation should be considered along with a Farm Succession Plan. This may require a family conversation that includes all stakeholders and the understanding that the next generation may or may not want to continue farming. These conversations can be very difficult and may require a neutral facilitator.</t>
  </si>
  <si>
    <t>Mowing year: 0% of original yield</t>
  </si>
  <si>
    <t>1st year after mowing: 50% of original yield</t>
  </si>
  <si>
    <t>2nd year after mowing: 75% of original yield</t>
  </si>
  <si>
    <t>Following years: 100% of original yield</t>
  </si>
  <si>
    <t>Sanding year: 50% of original yield</t>
  </si>
  <si>
    <t>1st year after sanding: 135% of original yield</t>
  </si>
  <si>
    <t>Following years: 125% of original yield</t>
  </si>
  <si>
    <t>Mowing year: 100% loss of original yield</t>
  </si>
  <si>
    <t>1st year after mowing: 50% loss of original yield</t>
  </si>
  <si>
    <t>2nd year after mowing: 25% loss of original yield</t>
  </si>
  <si>
    <t>Following years: 0% loss of original yield</t>
  </si>
  <si>
    <r>
      <t xml:space="preserve">Yield projections and royalty costs are calculated based on the selected variety. To see estimated yield and royalty data, see the </t>
    </r>
    <r>
      <rPr>
        <b/>
        <sz val="12"/>
        <color theme="1"/>
        <rFont val="Calibri"/>
        <family val="2"/>
        <scheme val="minor"/>
      </rPr>
      <t>Variety Data</t>
    </r>
    <r>
      <rPr>
        <sz val="12"/>
        <color theme="1"/>
        <rFont val="Calibri"/>
        <family val="2"/>
        <scheme val="minor"/>
      </rPr>
      <t xml:space="preserve"> tab. Growers can add a variety that is not included by providing annual yield and royalty data in the blank row (blue boxes) of the table in the </t>
    </r>
    <r>
      <rPr>
        <b/>
        <sz val="12"/>
        <color theme="1"/>
        <rFont val="Calibri"/>
        <family val="2"/>
        <scheme val="minor"/>
      </rPr>
      <t>Variety Data</t>
    </r>
    <r>
      <rPr>
        <sz val="12"/>
        <color theme="1"/>
        <rFont val="Calibri"/>
        <family val="2"/>
        <scheme val="minor"/>
      </rPr>
      <t xml:space="preserve"> tab.</t>
    </r>
  </si>
  <si>
    <t>GRYGLESKI (GH)</t>
  </si>
  <si>
    <t>WILLAPA RED</t>
  </si>
  <si>
    <t>CRIMSON KING</t>
  </si>
  <si>
    <t>HYRED</t>
  </si>
  <si>
    <t>USDA</t>
  </si>
  <si>
    <t>UWisconsin</t>
  </si>
  <si>
    <t>PILGRIM</t>
  </si>
  <si>
    <t>Calculated from acres mowed and bog yield.</t>
  </si>
  <si>
    <t>Annual Royalty</t>
  </si>
  <si>
    <t>Patent/Licence</t>
  </si>
  <si>
    <t>All years, only for Uwisonsin varieties</t>
  </si>
  <si>
    <t>Year 2+, only for Uwisonsin varieties</t>
  </si>
  <si>
    <t>Additional Vines, Off-Farm Cost #1</t>
  </si>
  <si>
    <t>Additional Plugs, Patented Cost #1</t>
  </si>
  <si>
    <t>Not for Valley Corp varieties</t>
  </si>
  <si>
    <t>VINE/PLUG COST</t>
  </si>
  <si>
    <t>ANNUAL ROYALTY</t>
  </si>
  <si>
    <t>PATENT/LICENCE COST</t>
  </si>
  <si>
    <r>
      <t xml:space="preserve">These yields (BBL/ACRE) are estimates based on a combination of performance data from the BC Cranberry Research Farm and Ocean Spray delivery reports. Not all varieties have reliable delivery data. Some assumptions have been made to give a best estimate of </t>
    </r>
    <r>
      <rPr>
        <b/>
        <sz val="12"/>
        <color rgb="FFFF0000"/>
        <rFont val="Calibri (Body)"/>
      </rPr>
      <t>potential</t>
    </r>
    <r>
      <rPr>
        <sz val="12"/>
        <color theme="1"/>
        <rFont val="Calibri"/>
        <family val="2"/>
        <scheme val="minor"/>
      </rPr>
      <t xml:space="preserve"> performance. Individual grower practices will greatly impact yield potential.</t>
    </r>
  </si>
  <si>
    <t>Royalty costs vary by variety and breeder. See breeder websites for current royalty costs.
    - Rutgers varieties are charged royalties per acre on all planting methods. 
    - Valley Corporation varieties are only charged royalties when replanted from another field. 
    - University of Wisconsin varieties are charged a one-time licence fee, plus an annual royalty fee for 20 years after purchase.</t>
  </si>
  <si>
    <t>- Pollination, tissue sampling, IPM consulting and harvest labour are assumed to be 0% of base costs in the year after mowing.</t>
  </si>
  <si>
    <t>- Pruning is assumed to be 0% of base cost in two years after mowing.</t>
  </si>
  <si>
    <t>- Yield after mowing follows the trend below:</t>
  </si>
  <si>
    <r>
      <t>- Planting density is 1 ton/acre for vines and 1 plug/ft</t>
    </r>
    <r>
      <rPr>
        <vertAlign val="superscript"/>
        <sz val="12"/>
        <color theme="1"/>
        <rFont val="Calibri (Body)"/>
      </rPr>
      <t>2</t>
    </r>
    <r>
      <rPr>
        <sz val="12"/>
        <color theme="1"/>
        <rFont val="Calibri"/>
        <family val="2"/>
        <scheme val="minor"/>
      </rPr>
      <t xml:space="preserve"> for plugs.</t>
    </r>
  </si>
  <si>
    <t>- Pollination, tissue sampling, IPM consulting and harvest labour are assumed to be 0% of base costs in the year after renovation.</t>
  </si>
  <si>
    <t>- Pruning is assumed to be 0% of base cost in two years after renovation.</t>
  </si>
  <si>
    <t>- Patent and royalty costs are based on the selected variety and the renovation method.</t>
  </si>
  <si>
    <t>- Yield loss from mowed field follows the trend below:</t>
  </si>
  <si>
    <t xml:space="preserve">- Unless specific below, all base costs are included in expenses each year.  </t>
  </si>
  <si>
    <t>- Yield after sanding follows the trend below:</t>
  </si>
  <si>
    <t>- All base input costs are included in expenses each year.</t>
  </si>
  <si>
    <t>- 1 acre will produce 5 tons of mowed vine for planting. Assuming planting density is 1 ton per acre, mowing 1 acre of vines will plant 5 acres of a new bog.</t>
  </si>
  <si>
    <t>This tool was developed to provide simple return on investment calculations based on input costs and revenue. To minimize complexity and keep the calculations intuitive, a few key production costs were simplified or excluded, but that does not mean they should not be factored into management planning. Below are two input costs that require additional consideration.</t>
  </si>
  <si>
    <t>COPYRIGHT</t>
  </si>
  <si>
    <t>This tool is owned by BC Cranberry Growers and should not be altered from its original form. Any edits will be made through the authorized editor, Kaitlyn Schurmann.</t>
  </si>
  <si>
    <t>Patent and royalty values were provided by the variety breeders. See the breeder website for additional information and current costs.</t>
  </si>
  <si>
    <r>
      <t xml:space="preserve">See the </t>
    </r>
    <r>
      <rPr>
        <b/>
        <sz val="12"/>
        <color theme="1"/>
        <rFont val="Calibri"/>
        <family val="2"/>
        <scheme val="minor"/>
      </rPr>
      <t>Variety Data</t>
    </r>
    <r>
      <rPr>
        <sz val="12"/>
        <color theme="1"/>
        <rFont val="Calibri"/>
        <family val="2"/>
        <scheme val="minor"/>
      </rPr>
      <t xml:space="preserve">, </t>
    </r>
    <r>
      <rPr>
        <b/>
        <sz val="12"/>
        <color theme="1"/>
        <rFont val="Calibri"/>
        <family val="2"/>
        <scheme val="minor"/>
      </rPr>
      <t>Considerations</t>
    </r>
    <r>
      <rPr>
        <sz val="12"/>
        <color theme="1"/>
        <rFont val="Calibri"/>
        <family val="2"/>
        <scheme val="minor"/>
      </rPr>
      <t xml:space="preserve">, and </t>
    </r>
    <r>
      <rPr>
        <b/>
        <sz val="12"/>
        <color theme="1"/>
        <rFont val="Calibri"/>
        <family val="2"/>
        <scheme val="minor"/>
      </rPr>
      <t>Assumptions</t>
    </r>
    <r>
      <rPr>
        <sz val="12"/>
        <color theme="1"/>
        <rFont val="Calibri"/>
        <family val="2"/>
        <scheme val="minor"/>
      </rPr>
      <t xml:space="preserve"> tabs for additional information.</t>
    </r>
  </si>
  <si>
    <t>COMPARISON SUMMARY</t>
  </si>
  <si>
    <t>Management Option</t>
  </si>
  <si>
    <t>10-YEAR COMPARISON SUMMARY</t>
  </si>
  <si>
    <t>Current State</t>
  </si>
  <si>
    <t>Sanding, 5-Year Cycle</t>
  </si>
  <si>
    <t>Mowing, 10-Year Cycle</t>
  </si>
  <si>
    <t>Vines, On-Farm Source</t>
  </si>
  <si>
    <t>Vines, Off-Farm Source</t>
  </si>
  <si>
    <t>Plugs, Purchased</t>
  </si>
  <si>
    <t>Plugs, Off-Patent &amp; Self-Grown</t>
  </si>
  <si>
    <t>Total Revenue</t>
  </si>
  <si>
    <t>Variety</t>
  </si>
  <si>
    <r>
      <t>Select the 4</t>
    </r>
    <r>
      <rPr>
        <b/>
        <sz val="12"/>
        <color theme="1"/>
        <rFont val="Calibri"/>
        <family val="2"/>
        <scheme val="minor"/>
      </rPr>
      <t>. Detailed Reports</t>
    </r>
    <r>
      <rPr>
        <sz val="12"/>
        <color theme="1"/>
        <rFont val="Calibri"/>
        <family val="2"/>
        <scheme val="minor"/>
      </rPr>
      <t xml:space="preserve"> tab to view the annual breakdown of revenue and input costs for each management scenario.</t>
    </r>
  </si>
  <si>
    <r>
      <t xml:space="preserve">Select the </t>
    </r>
    <r>
      <rPr>
        <b/>
        <sz val="12"/>
        <color theme="1"/>
        <rFont val="Calibri"/>
        <family val="2"/>
        <scheme val="minor"/>
      </rPr>
      <t>3. Comparison Summary</t>
    </r>
    <r>
      <rPr>
        <sz val="12"/>
        <color theme="1"/>
        <rFont val="Calibri"/>
        <family val="2"/>
        <scheme val="minor"/>
      </rPr>
      <t xml:space="preserve"> tab to view a side-by-side summary of the total expenses, total revenue, and cumulative profit of the management scenarios.</t>
    </r>
  </si>
  <si>
    <t>Select cell &amp; dropdown arrow to change variety.</t>
  </si>
  <si>
    <t>Total Expenses</t>
  </si>
  <si>
    <t>Miranda Elsby &amp; BC Cranberry Growers</t>
  </si>
  <si>
    <t>- General labour and herbicide costs are assumed to increase by 20% over base cost value in the three years following a curative management practice or renovation.</t>
  </si>
  <si>
    <t>BC CRANBERRY RETURN ON INVESTMENT CALCULATOR</t>
  </si>
  <si>
    <t>VERSION CONTROL</t>
  </si>
  <si>
    <t>VERSION NUMBER</t>
  </si>
  <si>
    <t>AUTHOR</t>
  </si>
  <si>
    <t>PURPOSE</t>
  </si>
  <si>
    <t>DATE</t>
  </si>
  <si>
    <t>Kaitlyn Schurmann, Developer</t>
  </si>
  <si>
    <t>Original</t>
  </si>
  <si>
    <t>grant red</t>
  </si>
  <si>
    <t xml:space="preserve">0 50 500 600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</si>
</sst>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quot;$&quot;* #,##0.00_);_(&quot;$&quot;* \(#,##0.00\);_(&quot;$&quot;* &quot;-&quot;??_);_(@_)"/>
    <numFmt numFmtId="165" formatCode="&quot;$&quot;#,##0.00"/>
    <numFmt numFmtId="166" formatCode="_(&quot;$&quot;* #,##0.0000_);_(&quot;$&quot;* \(#,##0.0000\);_(&quot;$&quot;* &quot;-&quot;??_);_(@_)"/>
    <numFmt numFmtId="167" formatCode="_(&quot;$&quot;* #,##0_);_(&quot;$&quot;* \(#,##0\);_(&quot;$&quot;* &quot;-&quot;??_);_(@_)"/>
    <numFmt numFmtId="168" formatCode="&quot;$&quot;#,##0"/>
    <numFmt numFmtId="169" formatCode="[$-1009]mmm\ d\,\ yyyy;@"/>
    <numFmt numFmtId="170" formatCode="0.0"/>
  </numFmts>
  <fonts count="37">
    <font>
      <sz val="11"/>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b/>
      <sz val="11"/>
      <color theme="1"/>
      <name val="Calibri"/>
      <family val="2"/>
      <scheme val="minor"/>
    </font>
    <font>
      <sz val="8"/>
      <name val="Calibri"/>
      <family val="2"/>
      <scheme val="minor"/>
    </font>
    <font>
      <b/>
      <sz val="12"/>
      <color theme="1"/>
      <name val="Calibri"/>
      <family val="2"/>
      <scheme val="minor"/>
    </font>
    <font>
      <b/>
      <sz val="12"/>
      <color rgb="FF000000"/>
      <name val="Calibri"/>
      <family val="2"/>
      <scheme val="minor"/>
    </font>
    <font>
      <b/>
      <sz val="14"/>
      <color theme="1"/>
      <name val="Calibri"/>
      <family val="2"/>
      <scheme val="minor"/>
    </font>
    <font>
      <b/>
      <sz val="12"/>
      <color rgb="FFFF0000"/>
      <name val="Calibri (Body)"/>
    </font>
    <font>
      <b/>
      <sz val="16"/>
      <color theme="1"/>
      <name val="Calibri"/>
      <family val="2"/>
      <scheme val="minor"/>
    </font>
    <font>
      <u/>
      <sz val="11"/>
      <color theme="10"/>
      <name val="Calibri"/>
      <family val="2"/>
      <scheme val="minor"/>
    </font>
    <font>
      <u/>
      <sz val="12"/>
      <color theme="10"/>
      <name val="Calibri"/>
      <family val="2"/>
      <scheme val="minor"/>
    </font>
    <font>
      <sz val="12"/>
      <color theme="1"/>
      <name val="Calibri (Body)"/>
    </font>
    <font>
      <b/>
      <sz val="10"/>
      <color theme="1"/>
      <name val="Calibri"/>
      <family val="2"/>
      <scheme val="minor"/>
    </font>
    <font>
      <sz val="10"/>
      <color theme="1"/>
      <name val="Calibri"/>
      <family val="2"/>
      <scheme val="minor"/>
    </font>
    <font>
      <b/>
      <sz val="12"/>
      <color theme="0"/>
      <name val="Calibri"/>
      <family val="2"/>
      <scheme val="minor"/>
    </font>
    <font>
      <b/>
      <sz val="11"/>
      <color theme="0"/>
      <name val="Calibri"/>
      <family val="2"/>
      <scheme val="minor"/>
    </font>
    <font>
      <vertAlign val="superscript"/>
      <sz val="12"/>
      <color theme="1"/>
      <name val="Calibri (Body)"/>
    </font>
  </fonts>
  <fills count="4">
    <fill>
      <patternFill patternType="none"/>
    </fill>
    <fill>
      <patternFill patternType="gray125"/>
    </fill>
    <fill>
      <patternFill patternType="solid">
        <fgColor theme="0" tint="-0.249977111117893"/>
        <bgColor indexed="64"/>
      </patternFill>
    </fill>
    <fill>
      <patternFill patternType="solid">
        <fgColor rgb="FF941100"/>
        <bgColor indexed="64"/>
      </patternFill>
    </fill>
  </fills>
  <borders count="26">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theme="4" tint="-0.24994659260841701"/>
      </right>
      <top style="thin">
        <color indexed="64"/>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top/>
      <bottom style="thin">
        <color indexed="64"/>
      </bottom>
      <diagonal/>
    </border>
    <border>
      <left/>
      <right/>
      <top/>
      <bottom style="hair">
        <color auto="1"/>
      </bottom>
      <diagonal/>
    </border>
    <border>
      <left style="thick">
        <color theme="4" tint="-0.24994659260841701"/>
      </left>
      <right style="thick">
        <color theme="4" tint="-0.24994659260841701"/>
      </right>
      <top style="thick">
        <color theme="4" tint="-0.24994659260841701"/>
      </top>
      <bottom style="thick">
        <color theme="4" tint="-0.24994659260841701"/>
      </bottom>
      <diagonal/>
    </border>
    <border>
      <left style="medium">
        <color rgb="FF941100"/>
      </left>
      <right/>
      <top style="medium">
        <color rgb="FF941100"/>
      </top>
      <bottom style="medium">
        <color rgb="FF941100"/>
      </bottom>
      <diagonal/>
    </border>
    <border>
      <left/>
      <right/>
      <top style="medium">
        <color rgb="FF941100"/>
      </top>
      <bottom style="medium">
        <color rgb="FF941100"/>
      </bottom>
      <diagonal/>
    </border>
    <border>
      <left/>
      <right style="medium">
        <color rgb="FF941100"/>
      </right>
      <top style="medium">
        <color rgb="FF941100"/>
      </top>
      <bottom style="medium">
        <color rgb="FF941100"/>
      </bottom>
      <diagonal/>
    </border>
    <border>
      <left style="thick">
        <color theme="4" tint="-0.24994659260841701"/>
      </left>
      <right/>
      <top style="thick">
        <color theme="4" tint="-0.24994659260841701"/>
      </top>
      <bottom style="thick">
        <color theme="4" tint="-0.24994659260841701"/>
      </bottom>
      <diagonal/>
    </border>
    <border>
      <left/>
      <right style="thick">
        <color theme="4" tint="-0.24994659260841701"/>
      </right>
      <top style="thick">
        <color theme="4" tint="-0.24994659260841701"/>
      </top>
      <bottom style="thick">
        <color theme="4" tint="-0.24994659260841701"/>
      </bottom>
      <diagonal/>
    </border>
    <border>
      <left/>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ck">
        <color theme="4" tint="-0.24994659260841701"/>
      </left>
      <right style="thin">
        <color indexed="64"/>
      </right>
      <top style="thick">
        <color theme="4" tint="-0.24994659260841701"/>
      </top>
      <bottom style="thick">
        <color theme="4" tint="-0.24994659260841701"/>
      </bottom>
      <diagonal/>
    </border>
    <border>
      <left style="thin">
        <color indexed="64"/>
      </left>
      <right style="thin">
        <color indexed="64"/>
      </right>
      <top style="thick">
        <color theme="4" tint="-0.24994659260841701"/>
      </top>
      <bottom style="thick">
        <color theme="4" tint="-0.24994659260841701"/>
      </bottom>
      <diagonal/>
    </border>
    <border>
      <left/>
      <right style="thin">
        <color indexed="64"/>
      </right>
      <top style="thick">
        <color theme="4" tint="-0.24994659260841701"/>
      </top>
      <bottom style="thick">
        <color theme="4" tint="-0.24994659260841701"/>
      </bottom>
      <diagonal/>
    </border>
  </borders>
  <cellStyleXfs count="2">
    <xf numFmtId="0" fontId="0" fillId="0" borderId="0"/>
    <xf numFmtId="0" fontId="29" fillId="0" borderId="0" applyNumberFormat="0" applyFill="0" applyBorder="0" applyAlignment="0" applyProtection="0"/>
  </cellStyleXfs>
  <cellXfs count="311">
    <xf numFmtId="0" fontId="0" fillId="0" borderId="0" xfId="0"/>
    <xf numFmtId="0" fontId="22" fillId="0" borderId="0" xfId="0" applyFont="1"/>
    <xf numFmtId="0" fontId="0" fillId="0" borderId="0" xfId="0" applyFont="1"/>
    <xf numFmtId="0" fontId="24" fillId="0" borderId="0" xfId="0" applyFont="1"/>
    <xf numFmtId="0" fontId="21" fillId="0" borderId="0" xfId="0" applyFont="1"/>
    <xf numFmtId="164" fontId="21" fillId="0" borderId="0" xfId="0" applyNumberFormat="1" applyFont="1"/>
    <xf numFmtId="0" fontId="26" fillId="0" borderId="0" xfId="0" applyFont="1"/>
    <xf numFmtId="0" fontId="0" fillId="0" borderId="0" xfId="0" applyFont="1" applyBorder="1"/>
    <xf numFmtId="0" fontId="22" fillId="0" borderId="0" xfId="0" applyFont="1" applyAlignment="1">
      <alignment horizontal="right"/>
    </xf>
    <xf numFmtId="0" fontId="0" fillId="2" borderId="5" xfId="0" applyFont="1" applyFill="1" applyBorder="1"/>
    <xf numFmtId="0" fontId="0" fillId="0" borderId="5" xfId="0" applyFont="1" applyFill="1" applyBorder="1"/>
    <xf numFmtId="164" fontId="0" fillId="0" borderId="5" xfId="0" applyNumberFormat="1" applyFont="1" applyBorder="1"/>
    <xf numFmtId="1" fontId="0" fillId="0" borderId="5" xfId="0" applyNumberFormat="1" applyFont="1" applyBorder="1"/>
    <xf numFmtId="164" fontId="0" fillId="2" borderId="5" xfId="0" applyNumberFormat="1" applyFont="1" applyFill="1" applyBorder="1"/>
    <xf numFmtId="1" fontId="0" fillId="2" borderId="5" xfId="0" applyNumberFormat="1" applyFont="1" applyFill="1" applyBorder="1"/>
    <xf numFmtId="0" fontId="22" fillId="0" borderId="0" xfId="0" applyNumberFormat="1" applyFont="1"/>
    <xf numFmtId="1" fontId="0" fillId="0" borderId="5" xfId="0" applyNumberFormat="1" applyFont="1" applyFill="1" applyBorder="1"/>
    <xf numFmtId="0" fontId="28" fillId="0" borderId="0" xfId="0" applyFont="1"/>
    <xf numFmtId="0" fontId="22" fillId="0" borderId="0" xfId="0" applyFont="1" applyAlignment="1">
      <alignment horizontal="left"/>
    </xf>
    <xf numFmtId="0" fontId="26" fillId="0" borderId="0" xfId="0" applyFont="1" applyAlignment="1">
      <alignment vertical="center"/>
    </xf>
    <xf numFmtId="0" fontId="24" fillId="0" borderId="0" xfId="0" applyFont="1" applyAlignment="1">
      <alignment vertical="center"/>
    </xf>
    <xf numFmtId="0" fontId="33" fillId="0" borderId="0" xfId="0" applyFont="1" applyAlignment="1">
      <alignment vertical="center"/>
    </xf>
    <xf numFmtId="164" fontId="33" fillId="0" borderId="0" xfId="0" applyNumberFormat="1" applyFont="1" applyAlignment="1">
      <alignment vertical="center"/>
    </xf>
    <xf numFmtId="164" fontId="33" fillId="0" borderId="0" xfId="0" applyNumberFormat="1" applyFont="1" applyBorder="1" applyAlignment="1">
      <alignment vertical="center"/>
    </xf>
    <xf numFmtId="0" fontId="33" fillId="0" borderId="0" xfId="0" applyFont="1" applyBorder="1" applyAlignment="1">
      <alignment vertical="center"/>
    </xf>
    <xf numFmtId="0" fontId="32" fillId="0" borderId="0" xfId="0" applyFont="1" applyBorder="1" applyAlignment="1">
      <alignment horizontal="right" vertical="center"/>
    </xf>
    <xf numFmtId="1" fontId="33" fillId="0" borderId="0" xfId="0" applyNumberFormat="1" applyFont="1" applyBorder="1" applyAlignment="1">
      <alignment vertical="center"/>
    </xf>
    <xf numFmtId="165" fontId="33" fillId="0" borderId="0" xfId="0" applyNumberFormat="1" applyFont="1" applyBorder="1" applyAlignment="1">
      <alignment horizontal="right" vertical="center"/>
    </xf>
    <xf numFmtId="0" fontId="0" fillId="0" borderId="0" xfId="0" applyFont="1" applyAlignment="1">
      <alignment vertical="center"/>
    </xf>
    <xf numFmtId="0" fontId="32" fillId="0" borderId="0" xfId="0" applyFont="1" applyBorder="1" applyAlignment="1">
      <alignment horizontal="left" vertical="center"/>
    </xf>
    <xf numFmtId="167" fontId="32" fillId="0" borderId="0" xfId="0" applyNumberFormat="1" applyFont="1" applyBorder="1" applyAlignment="1">
      <alignment vertical="center"/>
    </xf>
    <xf numFmtId="164" fontId="22" fillId="0" borderId="0" xfId="0" applyNumberFormat="1" applyFont="1" applyAlignment="1">
      <alignment vertical="center"/>
    </xf>
    <xf numFmtId="164" fontId="32" fillId="0" borderId="0" xfId="0" applyNumberFormat="1" applyFont="1" applyAlignment="1">
      <alignment vertical="center"/>
    </xf>
    <xf numFmtId="0" fontId="14" fillId="0" borderId="0" xfId="0" applyFont="1" applyAlignment="1">
      <alignment vertical="center"/>
    </xf>
    <xf numFmtId="0" fontId="0" fillId="0" borderId="0" xfId="0" applyBorder="1"/>
    <xf numFmtId="0" fontId="35" fillId="3" borderId="5" xfId="0" applyFont="1" applyFill="1" applyBorder="1"/>
    <xf numFmtId="0" fontId="35" fillId="3" borderId="5" xfId="0" applyFont="1" applyFill="1" applyBorder="1" applyAlignment="1">
      <alignment wrapText="1"/>
    </xf>
    <xf numFmtId="0" fontId="22" fillId="0" borderId="14" xfId="0" applyFont="1" applyBorder="1"/>
    <xf numFmtId="0" fontId="0" fillId="0" borderId="15" xfId="0" applyFont="1" applyBorder="1"/>
    <xf numFmtId="0" fontId="0" fillId="0" borderId="16" xfId="0" applyFont="1" applyBorder="1"/>
    <xf numFmtId="1" fontId="0" fillId="0" borderId="0" xfId="0" applyNumberFormat="1" applyFont="1" applyAlignment="1">
      <alignment vertical="center"/>
    </xf>
    <xf numFmtId="168" fontId="0" fillId="0" borderId="0" xfId="0" applyNumberFormat="1" applyFont="1" applyAlignment="1">
      <alignment vertical="center"/>
    </xf>
    <xf numFmtId="168" fontId="22" fillId="0" borderId="10" xfId="0" applyNumberFormat="1" applyFont="1" applyBorder="1" applyAlignment="1">
      <alignment vertical="center"/>
    </xf>
    <xf numFmtId="0" fontId="0" fillId="0" borderId="12" xfId="0" applyFont="1" applyBorder="1" applyAlignment="1">
      <alignment horizontal="left" vertical="center" indent="1"/>
    </xf>
    <xf numFmtId="168" fontId="0" fillId="0" borderId="12" xfId="0" applyNumberFormat="1" applyFont="1" applyBorder="1" applyAlignment="1">
      <alignment vertical="center"/>
    </xf>
    <xf numFmtId="168" fontId="22" fillId="2" borderId="11" xfId="0" applyNumberFormat="1" applyFont="1" applyFill="1" applyBorder="1" applyAlignment="1">
      <alignment vertical="center"/>
    </xf>
    <xf numFmtId="0" fontId="24" fillId="0" borderId="0" xfId="0" applyNumberFormat="1" applyFont="1" applyAlignment="1">
      <alignment horizontal="left" vertical="center"/>
    </xf>
    <xf numFmtId="0" fontId="24" fillId="0" borderId="0" xfId="0" applyFont="1" applyAlignment="1">
      <alignment horizontal="left" vertical="center"/>
    </xf>
    <xf numFmtId="164" fontId="14" fillId="0" borderId="0" xfId="0" applyNumberFormat="1" applyFont="1" applyBorder="1" applyAlignment="1">
      <alignment vertical="center"/>
    </xf>
    <xf numFmtId="1" fontId="21" fillId="0" borderId="13" xfId="0" applyNumberFormat="1" applyFont="1" applyFill="1" applyBorder="1" applyProtection="1">
      <protection locked="0"/>
    </xf>
    <xf numFmtId="0" fontId="0" fillId="0" borderId="0" xfId="0" applyProtection="1"/>
    <xf numFmtId="0" fontId="21" fillId="0" borderId="0" xfId="0" applyFont="1" applyProtection="1"/>
    <xf numFmtId="164" fontId="21" fillId="0" borderId="0" xfId="0" applyNumberFormat="1" applyFont="1" applyProtection="1"/>
    <xf numFmtId="0" fontId="24" fillId="0" borderId="0" xfId="0" applyFont="1" applyProtection="1"/>
    <xf numFmtId="164" fontId="20" fillId="0" borderId="0" xfId="0" applyNumberFormat="1" applyFont="1" applyBorder="1" applyProtection="1"/>
    <xf numFmtId="0" fontId="28" fillId="0" borderId="0" xfId="0" applyFont="1" applyProtection="1"/>
    <xf numFmtId="164" fontId="24" fillId="0" borderId="0" xfId="0" applyNumberFormat="1" applyFont="1" applyProtection="1"/>
    <xf numFmtId="0" fontId="26" fillId="0" borderId="0" xfId="0" applyFont="1" applyProtection="1"/>
    <xf numFmtId="0" fontId="34" fillId="3" borderId="5" xfId="0" applyNumberFormat="1" applyFont="1" applyFill="1" applyBorder="1" applyAlignment="1" applyProtection="1">
      <alignment wrapText="1"/>
    </xf>
    <xf numFmtId="0" fontId="34" fillId="3" borderId="6" xfId="0" applyNumberFormat="1" applyFont="1" applyFill="1" applyBorder="1" applyAlignment="1" applyProtection="1">
      <alignment wrapText="1"/>
    </xf>
    <xf numFmtId="164" fontId="21" fillId="0" borderId="1" xfId="0" applyNumberFormat="1" applyFont="1" applyFill="1" applyBorder="1" applyProtection="1"/>
    <xf numFmtId="164" fontId="21" fillId="0" borderId="2" xfId="0" applyNumberFormat="1" applyFont="1" applyBorder="1" applyProtection="1"/>
    <xf numFmtId="0" fontId="21" fillId="0" borderId="5" xfId="0" applyFont="1" applyBorder="1" applyProtection="1"/>
    <xf numFmtId="164" fontId="21" fillId="0" borderId="1" xfId="0" applyNumberFormat="1" applyFont="1" applyBorder="1" applyProtection="1"/>
    <xf numFmtId="164" fontId="21" fillId="0" borderId="8" xfId="0" applyNumberFormat="1" applyFont="1" applyFill="1" applyBorder="1" applyProtection="1"/>
    <xf numFmtId="164" fontId="19" fillId="0" borderId="8" xfId="0" applyNumberFormat="1" applyFont="1" applyFill="1" applyBorder="1" applyProtection="1"/>
    <xf numFmtId="0" fontId="24" fillId="0" borderId="0" xfId="0" applyNumberFormat="1" applyFont="1" applyProtection="1"/>
    <xf numFmtId="0" fontId="18" fillId="0" borderId="5" xfId="0" applyFont="1" applyBorder="1" applyProtection="1"/>
    <xf numFmtId="0" fontId="16" fillId="0" borderId="5" xfId="0" applyFont="1" applyBorder="1" applyProtection="1"/>
    <xf numFmtId="164" fontId="21" fillId="0" borderId="5" xfId="0" applyNumberFormat="1" applyFont="1" applyFill="1" applyBorder="1" applyProtection="1"/>
    <xf numFmtId="164" fontId="21" fillId="0" borderId="5" xfId="0" applyNumberFormat="1" applyFont="1" applyBorder="1" applyProtection="1"/>
    <xf numFmtId="164" fontId="24" fillId="0" borderId="0" xfId="0" applyNumberFormat="1" applyFont="1" applyAlignment="1" applyProtection="1">
      <alignment horizontal="right"/>
    </xf>
    <xf numFmtId="0" fontId="34" fillId="3" borderId="5" xfId="0" applyNumberFormat="1" applyFont="1" applyFill="1" applyBorder="1" applyAlignment="1" applyProtection="1">
      <alignment horizontal="left" vertical="top" wrapText="1"/>
    </xf>
    <xf numFmtId="1" fontId="21" fillId="0" borderId="5" xfId="0" applyNumberFormat="1" applyFont="1" applyFill="1" applyBorder="1" applyProtection="1"/>
    <xf numFmtId="1" fontId="21" fillId="0" borderId="2" xfId="0" applyNumberFormat="1" applyFont="1" applyBorder="1" applyProtection="1"/>
    <xf numFmtId="0" fontId="16" fillId="0" borderId="0" xfId="0" applyFont="1" applyProtection="1"/>
    <xf numFmtId="164" fontId="21" fillId="0" borderId="3" xfId="0" applyNumberFormat="1" applyFont="1" applyBorder="1" applyProtection="1"/>
    <xf numFmtId="164" fontId="21" fillId="0" borderId="4" xfId="0" applyNumberFormat="1" applyFont="1" applyBorder="1" applyProtection="1"/>
    <xf numFmtId="164" fontId="20" fillId="0" borderId="5" xfId="0" applyNumberFormat="1" applyFont="1" applyFill="1" applyBorder="1" applyAlignment="1" applyProtection="1"/>
    <xf numFmtId="0" fontId="17" fillId="0" borderId="5" xfId="0" applyFont="1" applyBorder="1" applyProtection="1"/>
    <xf numFmtId="0" fontId="16" fillId="0" borderId="1" xfId="0" applyFont="1" applyBorder="1" applyProtection="1"/>
    <xf numFmtId="0" fontId="21" fillId="0" borderId="2" xfId="0" applyFont="1" applyBorder="1" applyProtection="1"/>
    <xf numFmtId="0" fontId="25" fillId="0" borderId="0" xfId="0" applyFont="1" applyProtection="1"/>
    <xf numFmtId="0" fontId="15" fillId="0" borderId="1" xfId="0" applyFont="1" applyBorder="1" applyProtection="1"/>
    <xf numFmtId="0" fontId="16" fillId="0" borderId="0" xfId="0" applyFont="1" applyAlignment="1" applyProtection="1">
      <alignment vertical="center"/>
    </xf>
    <xf numFmtId="0" fontId="21" fillId="0" borderId="0" xfId="0" applyFont="1" applyBorder="1" applyProtection="1"/>
    <xf numFmtId="1" fontId="21" fillId="0" borderId="0" xfId="0" applyNumberFormat="1" applyFont="1" applyFill="1" applyBorder="1" applyProtection="1"/>
    <xf numFmtId="1" fontId="21" fillId="0" borderId="0" xfId="0" applyNumberFormat="1" applyFont="1" applyBorder="1" applyProtection="1"/>
    <xf numFmtId="0" fontId="24" fillId="0" borderId="0" xfId="0" applyFont="1" applyBorder="1" applyProtection="1"/>
    <xf numFmtId="164" fontId="21" fillId="0" borderId="0" xfId="0" applyNumberFormat="1" applyFont="1" applyBorder="1" applyProtection="1"/>
    <xf numFmtId="0" fontId="34" fillId="3" borderId="6" xfId="0" applyNumberFormat="1" applyFont="1" applyFill="1" applyBorder="1" applyAlignment="1" applyProtection="1">
      <alignment horizontal="left" vertical="top" wrapText="1"/>
    </xf>
    <xf numFmtId="0" fontId="34" fillId="3" borderId="5" xfId="0" applyFont="1" applyFill="1" applyBorder="1" applyAlignment="1" applyProtection="1">
      <alignment wrapText="1"/>
    </xf>
    <xf numFmtId="166" fontId="21" fillId="0" borderId="2" xfId="0" applyNumberFormat="1" applyFont="1" applyBorder="1" applyProtection="1"/>
    <xf numFmtId="166" fontId="21" fillId="0" borderId="1" xfId="0" applyNumberFormat="1" applyFont="1" applyFill="1" applyBorder="1" applyProtection="1"/>
    <xf numFmtId="1" fontId="21" fillId="0" borderId="1" xfId="0" applyNumberFormat="1" applyFont="1" applyFill="1" applyBorder="1" applyProtection="1"/>
    <xf numFmtId="1" fontId="16" fillId="0" borderId="0" xfId="0" applyNumberFormat="1" applyFont="1" applyFill="1" applyBorder="1" applyAlignment="1" applyProtection="1">
      <alignment horizontal="left"/>
    </xf>
    <xf numFmtId="1" fontId="20" fillId="0" borderId="0" xfId="0" applyNumberFormat="1" applyFont="1" applyFill="1" applyBorder="1" applyAlignment="1" applyProtection="1">
      <alignment horizontal="left"/>
    </xf>
    <xf numFmtId="0" fontId="0" fillId="3" borderId="0" xfId="0" applyFill="1" applyBorder="1"/>
    <xf numFmtId="0" fontId="26" fillId="0" borderId="0" xfId="0" applyFont="1" applyBorder="1"/>
    <xf numFmtId="0" fontId="14" fillId="0" borderId="0" xfId="0" applyFont="1" applyBorder="1"/>
    <xf numFmtId="0" fontId="0" fillId="0" borderId="0" xfId="0" applyBorder="1" applyProtection="1"/>
    <xf numFmtId="0" fontId="0" fillId="0" borderId="0" xfId="0" applyAlignment="1" applyProtection="1">
      <alignment wrapText="1"/>
    </xf>
    <xf numFmtId="0" fontId="17" fillId="0" borderId="0" xfId="0" applyFont="1" applyProtection="1"/>
    <xf numFmtId="0" fontId="34" fillId="3" borderId="5" xfId="0" applyFont="1" applyFill="1" applyBorder="1" applyAlignment="1" applyProtection="1">
      <alignment horizontal="center"/>
    </xf>
    <xf numFmtId="0" fontId="34" fillId="3" borderId="1" xfId="0" applyFont="1" applyFill="1" applyBorder="1" applyAlignment="1" applyProtection="1">
      <alignment horizontal="center"/>
    </xf>
    <xf numFmtId="0" fontId="34" fillId="3" borderId="9" xfId="0" applyFont="1" applyFill="1" applyBorder="1" applyAlignment="1" applyProtection="1">
      <alignment horizontal="center"/>
    </xf>
    <xf numFmtId="0" fontId="34" fillId="3" borderId="7" xfId="0" applyFont="1" applyFill="1" applyBorder="1" applyAlignment="1" applyProtection="1">
      <alignment horizontal="center"/>
    </xf>
    <xf numFmtId="0" fontId="34" fillId="3" borderId="3" xfId="0" applyFont="1" applyFill="1" applyBorder="1"/>
    <xf numFmtId="0" fontId="0" fillId="3" borderId="19" xfId="0" applyFill="1" applyBorder="1"/>
    <xf numFmtId="0" fontId="0" fillId="3" borderId="4" xfId="0" applyFill="1" applyBorder="1"/>
    <xf numFmtId="0" fontId="0" fillId="0" borderId="21" xfId="0" applyBorder="1"/>
    <xf numFmtId="0" fontId="0" fillId="0" borderId="9" xfId="0" applyBorder="1"/>
    <xf numFmtId="0" fontId="0" fillId="0" borderId="11" xfId="0" applyBorder="1"/>
    <xf numFmtId="0" fontId="0" fillId="0" borderId="22" xfId="0" applyBorder="1"/>
    <xf numFmtId="0" fontId="14" fillId="0" borderId="21" xfId="0" applyFont="1" applyBorder="1"/>
    <xf numFmtId="0" fontId="14" fillId="0" borderId="9" xfId="0" applyFont="1" applyBorder="1"/>
    <xf numFmtId="0" fontId="14" fillId="0" borderId="11" xfId="0" applyFont="1" applyBorder="1"/>
    <xf numFmtId="0" fontId="14" fillId="0" borderId="22" xfId="0" applyFont="1" applyBorder="1"/>
    <xf numFmtId="0" fontId="0" fillId="0" borderId="20" xfId="0" applyBorder="1"/>
    <xf numFmtId="0" fontId="34" fillId="3" borderId="20" xfId="0" applyFont="1" applyFill="1" applyBorder="1"/>
    <xf numFmtId="0" fontId="0" fillId="3" borderId="21" xfId="0" applyFill="1" applyBorder="1"/>
    <xf numFmtId="0" fontId="17" fillId="0" borderId="20" xfId="0" applyFont="1" applyBorder="1" applyProtection="1"/>
    <xf numFmtId="0" fontId="17" fillId="0" borderId="0" xfId="0" applyFont="1" applyBorder="1" applyProtection="1"/>
    <xf numFmtId="0" fontId="17" fillId="0" borderId="21" xfId="0" applyFont="1" applyBorder="1" applyProtection="1"/>
    <xf numFmtId="0" fontId="15" fillId="0" borderId="20" xfId="0" applyFont="1" applyBorder="1" applyProtection="1"/>
    <xf numFmtId="0" fontId="16" fillId="0" borderId="20" xfId="0" applyFont="1" applyBorder="1" applyProtection="1"/>
    <xf numFmtId="0" fontId="17" fillId="0" borderId="9" xfId="0" applyFont="1" applyBorder="1" applyProtection="1"/>
    <xf numFmtId="0" fontId="17" fillId="0" borderId="11" xfId="0" applyFont="1" applyBorder="1" applyProtection="1"/>
    <xf numFmtId="0" fontId="17" fillId="0" borderId="22" xfId="0" applyFont="1" applyBorder="1" applyProtection="1"/>
    <xf numFmtId="0" fontId="34" fillId="3" borderId="3" xfId="0" applyFont="1" applyFill="1" applyBorder="1" applyProtection="1"/>
    <xf numFmtId="0" fontId="0" fillId="3" borderId="19" xfId="0" applyFill="1" applyBorder="1" applyProtection="1"/>
    <xf numFmtId="0" fontId="0" fillId="3" borderId="4" xfId="0" applyFill="1" applyBorder="1" applyProtection="1"/>
    <xf numFmtId="0" fontId="0" fillId="0" borderId="9" xfId="0" applyBorder="1" applyProtection="1"/>
    <xf numFmtId="0" fontId="0" fillId="0" borderId="11" xfId="0" applyBorder="1" applyProtection="1"/>
    <xf numFmtId="0" fontId="0" fillId="0" borderId="22" xfId="0" applyBorder="1" applyProtection="1"/>
    <xf numFmtId="0" fontId="0" fillId="0" borderId="20" xfId="0" applyBorder="1" applyProtection="1"/>
    <xf numFmtId="0" fontId="0" fillId="0" borderId="21" xfId="0" applyBorder="1" applyProtection="1"/>
    <xf numFmtId="0" fontId="35" fillId="3" borderId="10" xfId="0" applyFont="1" applyFill="1" applyBorder="1" applyAlignment="1">
      <alignment horizontal="center" vertical="center"/>
    </xf>
    <xf numFmtId="0" fontId="0" fillId="0" borderId="0" xfId="0" applyFont="1" applyFill="1" applyBorder="1" applyAlignment="1">
      <alignment horizontal="left" vertical="center"/>
    </xf>
    <xf numFmtId="0" fontId="0" fillId="0" borderId="0" xfId="0" applyFont="1" applyFill="1" applyBorder="1" applyAlignment="1">
      <alignment horizontal="left" vertical="center" indent="1"/>
    </xf>
    <xf numFmtId="0" fontId="0" fillId="0" borderId="0" xfId="0" applyFont="1" applyBorder="1" applyAlignment="1">
      <alignment horizontal="left" vertical="center" indent="1"/>
    </xf>
    <xf numFmtId="164" fontId="21" fillId="0" borderId="13" xfId="0" applyNumberFormat="1" applyFont="1" applyBorder="1" applyProtection="1">
      <protection locked="0"/>
    </xf>
    <xf numFmtId="0" fontId="17" fillId="0" borderId="24" xfId="0" applyFont="1" applyBorder="1" applyProtection="1">
      <protection locked="0"/>
    </xf>
    <xf numFmtId="0" fontId="12" fillId="0" borderId="0" xfId="0" applyFont="1"/>
    <xf numFmtId="0" fontId="0" fillId="3" borderId="0" xfId="0" applyFill="1" applyBorder="1" applyProtection="1"/>
    <xf numFmtId="0" fontId="34" fillId="3" borderId="20" xfId="0" applyFont="1" applyFill="1" applyBorder="1" applyProtection="1"/>
    <xf numFmtId="0" fontId="0" fillId="3" borderId="21" xfId="0" applyFill="1" applyBorder="1" applyProtection="1"/>
    <xf numFmtId="0" fontId="12" fillId="0" borderId="20" xfId="0" applyFont="1" applyFill="1" applyBorder="1" applyProtection="1"/>
    <xf numFmtId="0" fontId="0" fillId="0" borderId="0" xfId="0" applyFont="1" applyFill="1" applyBorder="1" applyProtection="1"/>
    <xf numFmtId="0" fontId="0" fillId="0" borderId="21" xfId="0" applyFont="1" applyFill="1" applyBorder="1" applyProtection="1"/>
    <xf numFmtId="0" fontId="12" fillId="0" borderId="20" xfId="0" applyFont="1" applyBorder="1" applyAlignment="1">
      <alignment horizontal="left" indent="3"/>
    </xf>
    <xf numFmtId="0" fontId="24" fillId="0" borderId="0" xfId="0" applyFont="1" applyAlignment="1">
      <alignment horizontal="right"/>
    </xf>
    <xf numFmtId="0" fontId="12" fillId="0" borderId="0" xfId="0" applyNumberFormat="1" applyFont="1" applyBorder="1"/>
    <xf numFmtId="164" fontId="12" fillId="0" borderId="0" xfId="0" applyNumberFormat="1" applyFont="1" applyBorder="1"/>
    <xf numFmtId="0" fontId="12" fillId="0" borderId="0" xfId="0" applyFont="1" applyBorder="1"/>
    <xf numFmtId="0" fontId="24" fillId="0" borderId="0" xfId="0" applyFont="1" applyBorder="1" applyAlignment="1">
      <alignment horizontal="right"/>
    </xf>
    <xf numFmtId="1" fontId="12" fillId="0" borderId="0" xfId="0" applyNumberFormat="1" applyFont="1" applyBorder="1" applyAlignment="1"/>
    <xf numFmtId="0" fontId="24" fillId="0" borderId="0" xfId="0" applyFont="1" applyAlignment="1">
      <alignment horizontal="left"/>
    </xf>
    <xf numFmtId="165" fontId="12" fillId="0" borderId="0" xfId="0" applyNumberFormat="1" applyFont="1" applyBorder="1" applyAlignment="1">
      <alignment horizontal="right" vertical="top"/>
    </xf>
    <xf numFmtId="164" fontId="21" fillId="0" borderId="13" xfId="0" applyNumberFormat="1" applyFont="1" applyFill="1" applyBorder="1" applyProtection="1">
      <protection locked="0"/>
    </xf>
    <xf numFmtId="164" fontId="12" fillId="0" borderId="13" xfId="0" applyNumberFormat="1" applyFont="1" applyFill="1" applyBorder="1" applyProtection="1">
      <protection locked="0"/>
    </xf>
    <xf numFmtId="0" fontId="21" fillId="0" borderId="2" xfId="0" applyFont="1" applyBorder="1" applyProtection="1"/>
    <xf numFmtId="0" fontId="0" fillId="0" borderId="0" xfId="0" applyFont="1" applyBorder="1" applyAlignment="1">
      <alignment horizontal="left" vertical="center" indent="1"/>
    </xf>
    <xf numFmtId="0" fontId="0" fillId="0" borderId="0" xfId="0" applyFont="1" applyFill="1" applyBorder="1" applyAlignment="1">
      <alignment horizontal="left" vertical="center" indent="1"/>
    </xf>
    <xf numFmtId="164" fontId="17" fillId="0" borderId="24" xfId="0" applyNumberFormat="1" applyFont="1" applyBorder="1" applyProtection="1">
      <protection locked="0"/>
    </xf>
    <xf numFmtId="0" fontId="11" fillId="0" borderId="5" xfId="0" applyNumberFormat="1" applyFont="1" applyFill="1" applyBorder="1" applyAlignment="1" applyProtection="1"/>
    <xf numFmtId="0" fontId="10" fillId="0" borderId="5" xfId="0" applyFont="1" applyBorder="1" applyProtection="1"/>
    <xf numFmtId="0" fontId="10" fillId="0" borderId="1" xfId="0" applyFont="1" applyBorder="1" applyProtection="1"/>
    <xf numFmtId="0" fontId="10" fillId="0" borderId="5" xfId="0" applyFont="1" applyBorder="1"/>
    <xf numFmtId="164" fontId="10" fillId="0" borderId="5" xfId="0" applyNumberFormat="1" applyFont="1" applyBorder="1"/>
    <xf numFmtId="164" fontId="10" fillId="0" borderId="5" xfId="0" applyNumberFormat="1" applyFont="1" applyBorder="1" applyAlignment="1">
      <alignment horizontal="right"/>
    </xf>
    <xf numFmtId="164" fontId="10" fillId="0" borderId="13" xfId="0" applyNumberFormat="1" applyFont="1" applyBorder="1" applyProtection="1">
      <protection locked="0"/>
    </xf>
    <xf numFmtId="164" fontId="17" fillId="0" borderId="25" xfId="0" applyNumberFormat="1" applyFont="1" applyBorder="1" applyProtection="1">
      <protection locked="0"/>
    </xf>
    <xf numFmtId="164" fontId="9" fillId="0" borderId="13" xfId="0" applyNumberFormat="1" applyFont="1" applyFill="1" applyBorder="1" applyProtection="1">
      <protection locked="0"/>
    </xf>
    <xf numFmtId="0" fontId="9" fillId="0" borderId="20" xfId="0" quotePrefix="1" applyFont="1" applyBorder="1"/>
    <xf numFmtId="0" fontId="8" fillId="0" borderId="20" xfId="0" applyFont="1" applyBorder="1"/>
    <xf numFmtId="0" fontId="8" fillId="0" borderId="0" xfId="0" applyFont="1"/>
    <xf numFmtId="0" fontId="30" fillId="0" borderId="0" xfId="1" applyFont="1"/>
    <xf numFmtId="0" fontId="8" fillId="3" borderId="19" xfId="0" applyFont="1" applyFill="1" applyBorder="1"/>
    <xf numFmtId="0" fontId="8" fillId="3" borderId="4" xfId="0" applyFont="1" applyFill="1" applyBorder="1"/>
    <xf numFmtId="0" fontId="8" fillId="0" borderId="9" xfId="0" applyFont="1" applyBorder="1"/>
    <xf numFmtId="0" fontId="8" fillId="0" borderId="11" xfId="0" applyFont="1" applyBorder="1"/>
    <xf numFmtId="0" fontId="8" fillId="0" borderId="22" xfId="0" applyFont="1" applyBorder="1"/>
    <xf numFmtId="0" fontId="8" fillId="0" borderId="0" xfId="0" applyFont="1" applyBorder="1"/>
    <xf numFmtId="0" fontId="8" fillId="0" borderId="21" xfId="0" applyFont="1" applyBorder="1"/>
    <xf numFmtId="0" fontId="8" fillId="0" borderId="20" xfId="0" applyFont="1" applyBorder="1" applyAlignment="1">
      <alignment horizontal="left" indent="3"/>
    </xf>
    <xf numFmtId="0" fontId="30" fillId="0" borderId="21" xfId="1" applyFont="1" applyBorder="1" applyAlignment="1"/>
    <xf numFmtId="0" fontId="30" fillId="0" borderId="0" xfId="1" applyFont="1" applyAlignment="1"/>
    <xf numFmtId="0" fontId="16" fillId="0" borderId="0" xfId="0" applyFont="1" applyBorder="1" applyProtection="1"/>
    <xf numFmtId="0" fontId="29" fillId="0" borderId="0" xfId="1" applyProtection="1"/>
    <xf numFmtId="0" fontId="7" fillId="0" borderId="0" xfId="0" applyFont="1" applyProtection="1"/>
    <xf numFmtId="0" fontId="6" fillId="0" borderId="5" xfId="0" applyFont="1" applyBorder="1"/>
    <xf numFmtId="164" fontId="6" fillId="0" borderId="13" xfId="0" applyNumberFormat="1" applyFont="1" applyBorder="1" applyProtection="1">
      <protection locked="0"/>
    </xf>
    <xf numFmtId="0" fontId="34" fillId="3" borderId="5" xfId="0" applyFont="1" applyFill="1" applyBorder="1" applyAlignment="1">
      <alignment vertical="center"/>
    </xf>
    <xf numFmtId="0" fontId="34" fillId="3" borderId="5" xfId="0" applyFont="1" applyFill="1" applyBorder="1" applyAlignment="1">
      <alignment vertical="center" wrapText="1"/>
    </xf>
    <xf numFmtId="1" fontId="6" fillId="0" borderId="5" xfId="0" applyNumberFormat="1" applyFont="1" applyBorder="1" applyAlignment="1">
      <alignment vertical="center"/>
    </xf>
    <xf numFmtId="164" fontId="6" fillId="0" borderId="5" xfId="0" applyNumberFormat="1" applyFont="1" applyBorder="1" applyAlignment="1">
      <alignment vertical="center"/>
    </xf>
    <xf numFmtId="0" fontId="6" fillId="0" borderId="5" xfId="0" applyNumberFormat="1" applyFont="1" applyBorder="1" applyAlignment="1">
      <alignment horizontal="left" vertical="center"/>
    </xf>
    <xf numFmtId="0" fontId="6" fillId="0" borderId="5" xfId="0" applyNumberFormat="1" applyFont="1" applyBorder="1" applyAlignment="1">
      <alignment vertical="center"/>
    </xf>
    <xf numFmtId="0" fontId="6" fillId="0" borderId="0" xfId="0" applyFont="1" applyAlignment="1">
      <alignment horizontal="left" vertical="center"/>
    </xf>
    <xf numFmtId="0" fontId="24" fillId="0" borderId="0" xfId="0" applyFont="1" applyBorder="1" applyAlignment="1">
      <alignment horizontal="right" vertical="center"/>
    </xf>
    <xf numFmtId="165" fontId="12" fillId="0" borderId="0" xfId="0" applyNumberFormat="1" applyFont="1" applyBorder="1" applyAlignment="1">
      <alignment horizontal="right" vertical="center"/>
    </xf>
    <xf numFmtId="0" fontId="12" fillId="0" borderId="0" xfId="0" applyFont="1" applyAlignment="1">
      <alignment vertical="center"/>
    </xf>
    <xf numFmtId="0" fontId="12" fillId="0" borderId="0" xfId="0" applyNumberFormat="1" applyFont="1" applyBorder="1" applyAlignment="1">
      <alignment vertical="center"/>
    </xf>
    <xf numFmtId="164" fontId="12" fillId="0" borderId="0" xfId="0" applyNumberFormat="1" applyFont="1" applyBorder="1" applyAlignment="1">
      <alignment vertical="center"/>
    </xf>
    <xf numFmtId="0" fontId="12" fillId="0" borderId="0" xfId="0" applyFont="1" applyBorder="1" applyAlignment="1">
      <alignment vertical="center"/>
    </xf>
    <xf numFmtId="0" fontId="22" fillId="0" borderId="0" xfId="0" applyFont="1" applyAlignment="1">
      <alignment horizontal="right" vertical="center"/>
    </xf>
    <xf numFmtId="0" fontId="6" fillId="0" borderId="0" xfId="0" applyNumberFormat="1" applyFont="1" applyProtection="1"/>
    <xf numFmtId="0" fontId="0" fillId="0" borderId="0" xfId="0" applyFont="1" applyFill="1" applyBorder="1" applyAlignment="1">
      <alignment horizontal="left" vertical="center" indent="1"/>
    </xf>
    <xf numFmtId="0" fontId="0" fillId="0" borderId="0" xfId="0" applyFont="1" applyBorder="1" applyAlignment="1">
      <alignment horizontal="left" vertical="center" indent="1"/>
    </xf>
    <xf numFmtId="0" fontId="0" fillId="0" borderId="0" xfId="0" applyFont="1" applyAlignment="1">
      <alignment horizontal="left" vertical="center" indent="1"/>
    </xf>
    <xf numFmtId="0" fontId="4" fillId="0" borderId="0" xfId="0" applyFont="1"/>
    <xf numFmtId="0" fontId="8" fillId="0" borderId="5" xfId="0" applyFont="1" applyBorder="1" applyAlignment="1">
      <alignment horizontal="center" vertical="center"/>
    </xf>
    <xf numFmtId="0" fontId="24" fillId="0" borderId="5" xfId="0" applyFont="1" applyFill="1" applyBorder="1" applyAlignment="1">
      <alignment horizontal="center" vertical="center" wrapText="1"/>
    </xf>
    <xf numFmtId="170" fontId="8" fillId="0" borderId="5" xfId="0" applyNumberFormat="1" applyFont="1" applyBorder="1" applyAlignment="1">
      <alignment horizontal="center" vertical="center"/>
    </xf>
    <xf numFmtId="0" fontId="24" fillId="0" borderId="5" xfId="0" applyFont="1" applyFill="1" applyBorder="1" applyAlignment="1">
      <alignment horizontal="center" vertical="center" wrapText="1"/>
    </xf>
    <xf numFmtId="169" fontId="8" fillId="0" borderId="5" xfId="0" applyNumberFormat="1" applyFont="1" applyBorder="1" applyAlignment="1">
      <alignment horizontal="center" vertical="center" wrapText="1"/>
    </xf>
    <xf numFmtId="0" fontId="24" fillId="0" borderId="5" xfId="0" applyFont="1" applyFill="1" applyBorder="1" applyAlignment="1">
      <alignment horizontal="center" vertical="center"/>
    </xf>
    <xf numFmtId="169" fontId="8" fillId="0" borderId="5" xfId="0" applyNumberFormat="1" applyFont="1" applyBorder="1" applyAlignment="1">
      <alignment horizontal="left" vertical="center" wrapText="1"/>
    </xf>
    <xf numFmtId="0" fontId="8" fillId="0" borderId="5" xfId="0" applyFont="1" applyBorder="1" applyAlignment="1">
      <alignment horizontal="center" vertical="center" wrapText="1"/>
    </xf>
    <xf numFmtId="0" fontId="2" fillId="0" borderId="5" xfId="0" applyFont="1" applyBorder="1" applyAlignment="1">
      <alignment horizontal="left" vertical="center" wrapText="1"/>
    </xf>
    <xf numFmtId="0" fontId="8" fillId="0" borderId="5" xfId="0" applyFont="1" applyBorder="1" applyAlignment="1">
      <alignment horizontal="left" vertical="center" wrapText="1"/>
    </xf>
    <xf numFmtId="0" fontId="8" fillId="0" borderId="20" xfId="0" applyFont="1" applyBorder="1" applyAlignment="1">
      <alignment horizontal="left" vertical="top" wrapText="1"/>
    </xf>
    <xf numFmtId="0" fontId="8" fillId="0" borderId="0" xfId="0" applyFont="1" applyBorder="1" applyAlignment="1">
      <alignment horizontal="left" vertical="top" wrapText="1"/>
    </xf>
    <xf numFmtId="0" fontId="8" fillId="0" borderId="21" xfId="0" applyFont="1" applyBorder="1" applyAlignment="1">
      <alignment horizontal="left" vertical="top" wrapText="1"/>
    </xf>
    <xf numFmtId="0" fontId="8" fillId="0" borderId="20" xfId="0" applyFont="1" applyBorder="1" applyAlignment="1">
      <alignment horizontal="left" vertical="center" wrapText="1"/>
    </xf>
    <xf numFmtId="0" fontId="8" fillId="0" borderId="0" xfId="0" applyFont="1" applyBorder="1" applyAlignment="1">
      <alignment horizontal="left" vertical="center" wrapText="1"/>
    </xf>
    <xf numFmtId="0" fontId="8" fillId="0" borderId="21" xfId="0" applyFont="1" applyBorder="1" applyAlignment="1">
      <alignment horizontal="left" vertical="center" wrapText="1"/>
    </xf>
    <xf numFmtId="0" fontId="6" fillId="0" borderId="20" xfId="0" applyFont="1" applyBorder="1" applyAlignment="1">
      <alignment horizontal="left" vertical="center" wrapText="1"/>
    </xf>
    <xf numFmtId="0" fontId="30" fillId="0" borderId="0" xfId="1" applyFont="1" applyBorder="1" applyAlignment="1">
      <alignment horizontal="left" vertical="center"/>
    </xf>
    <xf numFmtId="0" fontId="30" fillId="0" borderId="21" xfId="1" applyFont="1" applyBorder="1" applyAlignment="1">
      <alignment horizontal="left" vertical="center"/>
    </xf>
    <xf numFmtId="1" fontId="5" fillId="0" borderId="17" xfId="0" applyNumberFormat="1" applyFont="1" applyFill="1" applyBorder="1" applyAlignment="1" applyProtection="1">
      <alignment horizontal="left"/>
      <protection locked="0"/>
    </xf>
    <xf numFmtId="1" fontId="20" fillId="0" borderId="18" xfId="0" applyNumberFormat="1" applyFont="1" applyFill="1" applyBorder="1" applyAlignment="1" applyProtection="1">
      <alignment horizontal="left"/>
      <protection locked="0"/>
    </xf>
    <xf numFmtId="0" fontId="16" fillId="0" borderId="1" xfId="0" applyFont="1" applyBorder="1" applyProtection="1"/>
    <xf numFmtId="0" fontId="20" fillId="0" borderId="2" xfId="0" applyFont="1" applyBorder="1" applyProtection="1"/>
    <xf numFmtId="0" fontId="21" fillId="0" borderId="2" xfId="0" applyFont="1" applyBorder="1" applyProtection="1"/>
    <xf numFmtId="0" fontId="21" fillId="0" borderId="1" xfId="0" applyFont="1" applyBorder="1" applyProtection="1"/>
    <xf numFmtId="0" fontId="34" fillId="3" borderId="1" xfId="0" applyNumberFormat="1" applyFont="1" applyFill="1" applyBorder="1" applyProtection="1"/>
    <xf numFmtId="0" fontId="34" fillId="3" borderId="2" xfId="0" applyNumberFormat="1" applyFont="1" applyFill="1" applyBorder="1" applyProtection="1"/>
    <xf numFmtId="0" fontId="18" fillId="0" borderId="1" xfId="0" applyFont="1" applyBorder="1" applyProtection="1"/>
    <xf numFmtId="0" fontId="16" fillId="0" borderId="2" xfId="0" applyFont="1" applyBorder="1" applyProtection="1"/>
    <xf numFmtId="0" fontId="30" fillId="0" borderId="0" xfId="1" applyFont="1" applyAlignment="1" applyProtection="1">
      <alignment horizontal="left" vertical="center"/>
    </xf>
    <xf numFmtId="0" fontId="10" fillId="0" borderId="1" xfId="0" applyFont="1" applyBorder="1" applyProtection="1"/>
    <xf numFmtId="0" fontId="17" fillId="0" borderId="2" xfId="0" applyFont="1" applyBorder="1" applyProtection="1"/>
    <xf numFmtId="0" fontId="17" fillId="0" borderId="1" xfId="0" applyFont="1" applyBorder="1" applyProtection="1"/>
    <xf numFmtId="0" fontId="15" fillId="0" borderId="1" xfId="0" applyFont="1" applyBorder="1" applyProtection="1"/>
    <xf numFmtId="0" fontId="20" fillId="0" borderId="1" xfId="0" applyFont="1" applyBorder="1" applyProtection="1"/>
    <xf numFmtId="0" fontId="6" fillId="0" borderId="0" xfId="0" applyFont="1" applyAlignment="1" applyProtection="1">
      <alignment horizontal="left"/>
    </xf>
    <xf numFmtId="0" fontId="34" fillId="3" borderId="5" xfId="0" applyFont="1" applyFill="1" applyBorder="1" applyAlignment="1" applyProtection="1">
      <alignment horizontal="left" wrapText="1"/>
    </xf>
    <xf numFmtId="164" fontId="21" fillId="0" borderId="5" xfId="0" applyNumberFormat="1" applyFont="1" applyBorder="1" applyAlignment="1" applyProtection="1">
      <alignment horizontal="center"/>
    </xf>
    <xf numFmtId="0" fontId="6" fillId="0" borderId="1" xfId="0" applyFont="1" applyFill="1" applyBorder="1" applyAlignment="1">
      <alignment horizontal="left" vertical="center"/>
    </xf>
    <xf numFmtId="0" fontId="6" fillId="0" borderId="2" xfId="0" applyFont="1" applyFill="1" applyBorder="1" applyAlignment="1">
      <alignment horizontal="left" vertical="center"/>
    </xf>
    <xf numFmtId="0" fontId="34" fillId="3" borderId="1" xfId="0" applyFont="1" applyFill="1" applyBorder="1" applyAlignment="1">
      <alignment horizontal="left" vertical="center" wrapText="1"/>
    </xf>
    <xf numFmtId="0" fontId="34" fillId="3" borderId="2" xfId="0" applyFont="1" applyFill="1" applyBorder="1" applyAlignment="1">
      <alignment horizontal="left" vertical="center" wrapText="1"/>
    </xf>
    <xf numFmtId="164" fontId="6" fillId="0" borderId="1" xfId="0" applyNumberFormat="1" applyFont="1" applyBorder="1" applyAlignment="1">
      <alignment horizontal="center" vertical="center"/>
    </xf>
    <xf numFmtId="164" fontId="6" fillId="0" borderId="2" xfId="0" applyNumberFormat="1" applyFont="1" applyBorder="1" applyAlignment="1">
      <alignment horizontal="center" vertical="center"/>
    </xf>
    <xf numFmtId="0" fontId="34" fillId="3" borderId="1" xfId="0" applyFont="1" applyFill="1" applyBorder="1" applyAlignment="1">
      <alignment horizontal="left" vertical="center"/>
    </xf>
    <xf numFmtId="0" fontId="34" fillId="3" borderId="2" xfId="0" applyFont="1" applyFill="1" applyBorder="1" applyAlignment="1">
      <alignment horizontal="left" vertical="center"/>
    </xf>
    <xf numFmtId="0" fontId="6" fillId="0" borderId="1" xfId="0" applyFont="1" applyBorder="1" applyAlignment="1">
      <alignment horizontal="left" vertical="center"/>
    </xf>
    <xf numFmtId="0" fontId="6" fillId="0" borderId="2" xfId="0" applyFont="1" applyBorder="1" applyAlignment="1">
      <alignment horizontal="left" vertical="center"/>
    </xf>
    <xf numFmtId="0" fontId="35" fillId="3" borderId="10" xfId="0" applyFont="1" applyFill="1" applyBorder="1" applyAlignment="1">
      <alignment horizontal="center" vertical="center"/>
    </xf>
    <xf numFmtId="0" fontId="0" fillId="0" borderId="0" xfId="0" applyFont="1" applyBorder="1" applyAlignment="1">
      <alignment horizontal="left" vertical="center" indent="1"/>
    </xf>
    <xf numFmtId="0" fontId="22" fillId="0" borderId="10" xfId="0" applyFont="1" applyFill="1" applyBorder="1" applyAlignment="1">
      <alignment horizontal="right" vertical="center"/>
    </xf>
    <xf numFmtId="0" fontId="22" fillId="0" borderId="10" xfId="0" applyFont="1" applyBorder="1" applyAlignment="1">
      <alignment horizontal="right" vertical="center"/>
    </xf>
    <xf numFmtId="0" fontId="0" fillId="0" borderId="0" xfId="0" applyFont="1" applyFill="1" applyBorder="1" applyAlignment="1">
      <alignment horizontal="left" vertical="center"/>
    </xf>
    <xf numFmtId="0" fontId="0" fillId="0" borderId="0" xfId="0" applyFont="1" applyFill="1" applyBorder="1" applyAlignment="1">
      <alignment horizontal="left" vertical="center" indent="1"/>
    </xf>
    <xf numFmtId="0" fontId="0" fillId="0" borderId="0" xfId="0" applyFont="1" applyBorder="1" applyAlignment="1">
      <alignment horizontal="left" vertical="center"/>
    </xf>
    <xf numFmtId="0" fontId="22" fillId="2" borderId="10" xfId="0" applyFont="1" applyFill="1" applyBorder="1" applyAlignment="1">
      <alignment horizontal="right" vertical="center"/>
    </xf>
    <xf numFmtId="0" fontId="0" fillId="0" borderId="11" xfId="0" applyFont="1" applyBorder="1" applyAlignment="1">
      <alignment horizontal="left" vertical="center" indent="1"/>
    </xf>
    <xf numFmtId="0" fontId="34" fillId="3" borderId="3" xfId="0" applyFont="1" applyFill="1" applyBorder="1" applyAlignment="1" applyProtection="1">
      <alignment horizontal="left" vertical="center"/>
    </xf>
    <xf numFmtId="0" fontId="34" fillId="3" borderId="19" xfId="0" applyFont="1" applyFill="1" applyBorder="1" applyAlignment="1" applyProtection="1">
      <alignment horizontal="left" vertical="center"/>
    </xf>
    <xf numFmtId="0" fontId="34" fillId="3" borderId="4" xfId="0" applyFont="1" applyFill="1" applyBorder="1" applyAlignment="1" applyProtection="1">
      <alignment horizontal="left" vertical="center"/>
    </xf>
    <xf numFmtId="0" fontId="34" fillId="3" borderId="5" xfId="0" applyFont="1" applyFill="1" applyBorder="1" applyAlignment="1" applyProtection="1">
      <alignment horizontal="center"/>
    </xf>
    <xf numFmtId="0" fontId="34" fillId="3" borderId="1" xfId="0" applyFont="1" applyFill="1" applyBorder="1" applyAlignment="1" applyProtection="1">
      <alignment horizontal="center"/>
    </xf>
    <xf numFmtId="0" fontId="34" fillId="3" borderId="10" xfId="0" applyFont="1" applyFill="1" applyBorder="1" applyAlignment="1" applyProtection="1">
      <alignment horizontal="center"/>
    </xf>
    <xf numFmtId="0" fontId="34" fillId="3" borderId="2" xfId="0" applyFont="1" applyFill="1" applyBorder="1" applyAlignment="1" applyProtection="1">
      <alignment horizontal="center"/>
    </xf>
    <xf numFmtId="0" fontId="9" fillId="0" borderId="20" xfId="0" applyFont="1" applyBorder="1" applyAlignment="1" applyProtection="1">
      <alignment horizontal="left" vertical="top" wrapText="1"/>
    </xf>
    <xf numFmtId="0" fontId="11" fillId="0" borderId="0" xfId="0" applyFont="1" applyBorder="1" applyAlignment="1" applyProtection="1">
      <alignment horizontal="left" vertical="top" wrapText="1"/>
    </xf>
    <xf numFmtId="0" fontId="11" fillId="0" borderId="21" xfId="0" applyFont="1" applyBorder="1" applyAlignment="1" applyProtection="1">
      <alignment horizontal="left" vertical="top" wrapText="1"/>
    </xf>
    <xf numFmtId="0" fontId="34" fillId="3" borderId="20" xfId="0" applyFont="1" applyFill="1" applyBorder="1" applyAlignment="1" applyProtection="1">
      <alignment horizontal="left" vertical="center"/>
    </xf>
    <xf numFmtId="0" fontId="34" fillId="3" borderId="0" xfId="0" applyFont="1" applyFill="1" applyBorder="1" applyAlignment="1" applyProtection="1">
      <alignment horizontal="left" vertical="center"/>
    </xf>
    <xf numFmtId="0" fontId="34" fillId="3" borderId="21" xfId="0" applyFont="1" applyFill="1" applyBorder="1" applyAlignment="1" applyProtection="1">
      <alignment horizontal="left" vertical="center"/>
    </xf>
    <xf numFmtId="0" fontId="29" fillId="0" borderId="0" xfId="1" applyBorder="1" applyAlignment="1" applyProtection="1">
      <alignment horizontal="left"/>
    </xf>
    <xf numFmtId="0" fontId="9" fillId="0" borderId="0" xfId="0" applyFont="1" applyBorder="1" applyAlignment="1" applyProtection="1">
      <alignment horizontal="left" vertical="top" wrapText="1"/>
    </xf>
    <xf numFmtId="0" fontId="9" fillId="0" borderId="21" xfId="0" applyFont="1" applyBorder="1" applyAlignment="1" applyProtection="1">
      <alignment horizontal="left" vertical="top" wrapText="1"/>
    </xf>
    <xf numFmtId="0" fontId="29" fillId="0" borderId="20" xfId="1" applyBorder="1" applyAlignment="1" applyProtection="1">
      <alignment horizontal="left" indent="3"/>
    </xf>
    <xf numFmtId="0" fontId="0" fillId="0" borderId="0" xfId="0" applyBorder="1" applyAlignment="1" applyProtection="1">
      <alignment horizontal="left" indent="3"/>
    </xf>
    <xf numFmtId="0" fontId="14" fillId="0" borderId="20" xfId="0" applyFont="1" applyBorder="1" applyAlignment="1" applyProtection="1">
      <alignment horizontal="left" vertical="center" wrapText="1"/>
    </xf>
    <xf numFmtId="0" fontId="14" fillId="0" borderId="0" xfId="0" applyFont="1" applyBorder="1" applyAlignment="1" applyProtection="1">
      <alignment horizontal="left" vertical="center" wrapText="1"/>
    </xf>
    <xf numFmtId="0" fontId="14" fillId="0" borderId="21" xfId="0" applyFont="1" applyBorder="1" applyAlignment="1" applyProtection="1">
      <alignment horizontal="left" vertical="center" wrapText="1"/>
    </xf>
    <xf numFmtId="0" fontId="9" fillId="0" borderId="20" xfId="0" applyFont="1" applyBorder="1" applyAlignment="1" applyProtection="1">
      <alignment horizontal="left" vertical="center" wrapText="1"/>
    </xf>
    <xf numFmtId="0" fontId="13" fillId="0" borderId="20" xfId="0" applyFont="1" applyBorder="1" applyAlignment="1" applyProtection="1">
      <alignment horizontal="left" vertical="center" wrapText="1"/>
    </xf>
    <xf numFmtId="0" fontId="13" fillId="0" borderId="20" xfId="0" quotePrefix="1" applyFont="1" applyBorder="1" applyAlignment="1" applyProtection="1">
      <alignment horizontal="left" vertical="center" wrapText="1" indent="3"/>
    </xf>
    <xf numFmtId="0" fontId="14" fillId="0" borderId="0" xfId="0" applyFont="1" applyBorder="1" applyAlignment="1" applyProtection="1">
      <alignment horizontal="left" vertical="center" wrapText="1" indent="3"/>
    </xf>
    <xf numFmtId="0" fontId="14" fillId="0" borderId="21" xfId="0" applyFont="1" applyBorder="1" applyAlignment="1" applyProtection="1">
      <alignment horizontal="left" vertical="center" wrapText="1" indent="3"/>
    </xf>
    <xf numFmtId="0" fontId="12" fillId="0" borderId="20" xfId="0" applyFont="1" applyBorder="1" applyAlignment="1" applyProtection="1">
      <alignment horizontal="left" vertical="center" wrapText="1"/>
    </xf>
    <xf numFmtId="0" fontId="12" fillId="0" borderId="20" xfId="0" quotePrefix="1" applyFont="1" applyBorder="1" applyAlignment="1" applyProtection="1">
      <alignment horizontal="left" vertical="center" wrapText="1" indent="3"/>
    </xf>
    <xf numFmtId="0" fontId="3" fillId="0" borderId="20" xfId="0" quotePrefix="1" applyFont="1" applyBorder="1" applyAlignment="1">
      <alignment horizontal="left" vertical="center" wrapText="1"/>
    </xf>
    <xf numFmtId="0" fontId="3" fillId="0" borderId="0" xfId="0" applyFont="1" applyAlignment="1">
      <alignment horizontal="left" vertical="center" wrapText="1"/>
    </xf>
    <xf numFmtId="0" fontId="3" fillId="0" borderId="21" xfId="0" applyFont="1" applyBorder="1" applyAlignment="1">
      <alignment horizontal="left" vertical="center" wrapText="1"/>
    </xf>
    <xf numFmtId="0" fontId="9" fillId="0" borderId="20" xfId="0" quotePrefix="1" applyFont="1" applyBorder="1" applyAlignment="1">
      <alignment horizontal="left" vertical="center" wrapText="1"/>
    </xf>
    <xf numFmtId="0" fontId="14" fillId="0" borderId="0" xfId="0" applyFont="1" applyBorder="1" applyAlignment="1">
      <alignment horizontal="left" vertical="center" wrapText="1"/>
    </xf>
    <xf numFmtId="0" fontId="14" fillId="0" borderId="21" xfId="0" applyFont="1" applyBorder="1" applyAlignment="1">
      <alignment horizontal="left" vertical="center" wrapText="1"/>
    </xf>
    <xf numFmtId="0" fontId="9" fillId="0" borderId="20" xfId="0" quotePrefix="1" applyFont="1" applyBorder="1" applyAlignment="1">
      <alignment horizontal="left" wrapText="1"/>
    </xf>
    <xf numFmtId="0" fontId="9" fillId="0" borderId="0" xfId="0" quotePrefix="1" applyFont="1" applyBorder="1" applyAlignment="1">
      <alignment horizontal="left" wrapText="1"/>
    </xf>
    <xf numFmtId="0" fontId="9" fillId="0" borderId="21" xfId="0" quotePrefix="1" applyFont="1" applyBorder="1" applyAlignment="1">
      <alignment horizontal="left" wrapText="1"/>
    </xf>
    <xf numFmtId="0" fontId="9" fillId="0" borderId="20" xfId="0" quotePrefix="1" applyFont="1" applyBorder="1" applyAlignment="1">
      <alignment horizontal="left"/>
    </xf>
    <xf numFmtId="0" fontId="9" fillId="0" borderId="0" xfId="0" quotePrefix="1" applyFont="1" applyBorder="1" applyAlignment="1">
      <alignment horizontal="left"/>
    </xf>
    <xf numFmtId="0" fontId="9" fillId="0" borderId="21" xfId="0" quotePrefix="1" applyFont="1" applyBorder="1" applyAlignment="1">
      <alignment horizontal="left"/>
    </xf>
    <xf numFmtId="0" fontId="1" fillId="0" borderId="23" xfId="0" applyFont="1" applyBorder="1" applyProtection="1">
      <protection locked="0"/>
    </xf>
    <xf numFmtId="0" fontId="1" fillId="0" borderId="24" xfId="0" applyFont="1" applyBorder="1" applyProtection="1">
      <protection locked="0"/>
    </xf>
  </cellXfs>
  <cellStyles count="2">
    <cellStyle name="Hyperlink" xfId="1" builtinId="8"/>
    <cellStyle name="Normal" xfId="0" builtinId="0"/>
  </cellStyles>
  <dxfs count="0"/>
  <tableStyles count="0" defaultTableStyle="TableStyleMedium2" defaultPivotStyle="PivotStyleLight16"/>
  <colors>
    <mruColors>
      <color rgb="FF941100"/>
      <color rgb="FFFFCBCC"/>
      <color rgb="FFFF7E7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'2. Return on Investment Summary'!$C$8</c:f>
              <c:strCache>
                <c:ptCount val="1"/>
                <c:pt idx="0">
                  <c:v>Expenses</c:v>
                </c:pt>
              </c:strCache>
            </c:strRef>
          </c:tx>
          <c:spPr>
            <a:solidFill>
              <a:srgbClr val="FF0000"/>
            </a:solidFill>
            <a:ln>
              <a:solidFill>
                <a:srgbClr val="FF0000"/>
              </a:solidFill>
            </a:ln>
            <a:effectLst/>
          </c:spPr>
          <c:invertIfNegative val="0"/>
          <c:cat>
            <c:strRef>
              <c:f>'2. Return on Investment Summary'!$B$9:$B$18</c:f>
              <c:strCache>
                <c:ptCount val="10"/>
                <c:pt idx="0">
                  <c:v>Y1</c:v>
                </c:pt>
                <c:pt idx="1">
                  <c:v>Y2</c:v>
                </c:pt>
                <c:pt idx="2">
                  <c:v>Y3</c:v>
                </c:pt>
                <c:pt idx="3">
                  <c:v>Y4</c:v>
                </c:pt>
                <c:pt idx="4">
                  <c:v>Y5</c:v>
                </c:pt>
                <c:pt idx="5">
                  <c:v>Y6</c:v>
                </c:pt>
                <c:pt idx="6">
                  <c:v>Y7</c:v>
                </c:pt>
                <c:pt idx="7">
                  <c:v>Y8</c:v>
                </c:pt>
                <c:pt idx="8">
                  <c:v>Y9</c:v>
                </c:pt>
                <c:pt idx="9">
                  <c:v>Y10</c:v>
                </c:pt>
              </c:strCache>
            </c:strRef>
          </c:cat>
          <c:val>
            <c:numRef>
              <c:f>'2. Return on Investment Summary'!$C$9:$C$18</c:f>
              <c:numCache>
                <c:formatCode>_("$"* #,##0.00_);_("$"* \(#,##0.00\);_("$"* "-"??_);_(@_)</c:formatCode>
                <c:ptCount val="10"/>
                <c:pt idx="0">
                  <c:v>-3720</c:v>
                </c:pt>
                <c:pt idx="1">
                  <c:v>-3720</c:v>
                </c:pt>
                <c:pt idx="2">
                  <c:v>-3720</c:v>
                </c:pt>
                <c:pt idx="3">
                  <c:v>-3720</c:v>
                </c:pt>
                <c:pt idx="4">
                  <c:v>-3720</c:v>
                </c:pt>
                <c:pt idx="5">
                  <c:v>-3720</c:v>
                </c:pt>
                <c:pt idx="6">
                  <c:v>-3720</c:v>
                </c:pt>
                <c:pt idx="7">
                  <c:v>-3720</c:v>
                </c:pt>
                <c:pt idx="8">
                  <c:v>-3720</c:v>
                </c:pt>
                <c:pt idx="9">
                  <c:v>-3720</c:v>
                </c:pt>
              </c:numCache>
            </c:numRef>
          </c:val>
          <c:extLst>
            <c:ext xmlns:c16="http://schemas.microsoft.com/office/drawing/2014/chart" uri="{C3380CC4-5D6E-409C-BE32-E72D297353CC}">
              <c16:uniqueId val="{00000000-72FE-C246-8133-EAC2C2948F2E}"/>
            </c:ext>
          </c:extLst>
        </c:ser>
        <c:ser>
          <c:idx val="1"/>
          <c:order val="1"/>
          <c:tx>
            <c:strRef>
              <c:f>'2. Return on Investment Summary'!$E$8</c:f>
              <c:strCache>
                <c:ptCount val="1"/>
                <c:pt idx="0">
                  <c:v>Revenue</c:v>
                </c:pt>
              </c:strCache>
            </c:strRef>
          </c:tx>
          <c:spPr>
            <a:solidFill>
              <a:schemeClr val="bg1">
                <a:lumMod val="50000"/>
              </a:schemeClr>
            </a:solidFill>
            <a:ln w="12700">
              <a:solidFill>
                <a:schemeClr val="bg1">
                  <a:lumMod val="50000"/>
                </a:schemeClr>
              </a:solidFill>
            </a:ln>
            <a:effectLst/>
          </c:spPr>
          <c:invertIfNegative val="0"/>
          <c:cat>
            <c:strRef>
              <c:f>'2. Return on Investment Summary'!$B$9:$B$18</c:f>
              <c:strCache>
                <c:ptCount val="10"/>
                <c:pt idx="0">
                  <c:v>Y1</c:v>
                </c:pt>
                <c:pt idx="1">
                  <c:v>Y2</c:v>
                </c:pt>
                <c:pt idx="2">
                  <c:v>Y3</c:v>
                </c:pt>
                <c:pt idx="3">
                  <c:v>Y4</c:v>
                </c:pt>
                <c:pt idx="4">
                  <c:v>Y5</c:v>
                </c:pt>
                <c:pt idx="5">
                  <c:v>Y6</c:v>
                </c:pt>
                <c:pt idx="6">
                  <c:v>Y7</c:v>
                </c:pt>
                <c:pt idx="7">
                  <c:v>Y8</c:v>
                </c:pt>
                <c:pt idx="8">
                  <c:v>Y9</c:v>
                </c:pt>
                <c:pt idx="9">
                  <c:v>Y10</c:v>
                </c:pt>
              </c:strCache>
            </c:strRef>
          </c:cat>
          <c:val>
            <c:numRef>
              <c:f>'2. Return on Investment Summary'!$E$9:$E$18</c:f>
              <c:numCache>
                <c:formatCode>_("$"* #,##0.00_);_("$"* \(#,##0.00\);_("$"* "-"??_);_(@_)</c:formatCode>
                <c:ptCount val="10"/>
                <c:pt idx="0">
                  <c:v>3658.05</c:v>
                </c:pt>
                <c:pt idx="1">
                  <c:v>3658.05</c:v>
                </c:pt>
                <c:pt idx="2">
                  <c:v>3658.05</c:v>
                </c:pt>
                <c:pt idx="3">
                  <c:v>3658.05</c:v>
                </c:pt>
                <c:pt idx="4">
                  <c:v>3658.05</c:v>
                </c:pt>
                <c:pt idx="5">
                  <c:v>3658.05</c:v>
                </c:pt>
                <c:pt idx="6">
                  <c:v>3658.05</c:v>
                </c:pt>
                <c:pt idx="7">
                  <c:v>3658.05</c:v>
                </c:pt>
                <c:pt idx="8">
                  <c:v>3658.05</c:v>
                </c:pt>
                <c:pt idx="9">
                  <c:v>3658.05</c:v>
                </c:pt>
              </c:numCache>
            </c:numRef>
          </c:val>
          <c:extLst>
            <c:ext xmlns:c16="http://schemas.microsoft.com/office/drawing/2014/chart" uri="{C3380CC4-5D6E-409C-BE32-E72D297353CC}">
              <c16:uniqueId val="{00000005-72FE-C246-8133-EAC2C2948F2E}"/>
            </c:ext>
          </c:extLst>
        </c:ser>
        <c:dLbls>
          <c:showLegendKey val="0"/>
          <c:showVal val="0"/>
          <c:showCatName val="0"/>
          <c:showSerName val="0"/>
          <c:showPercent val="0"/>
          <c:showBubbleSize val="0"/>
        </c:dLbls>
        <c:gapWidth val="100"/>
        <c:overlap val="100"/>
        <c:axId val="157978160"/>
        <c:axId val="157979792"/>
      </c:barChart>
      <c:lineChart>
        <c:grouping val="standard"/>
        <c:varyColors val="0"/>
        <c:ser>
          <c:idx val="4"/>
          <c:order val="2"/>
          <c:tx>
            <c:strRef>
              <c:f>'2. Return on Investment Summary'!$G$8</c:f>
              <c:strCache>
                <c:ptCount val="1"/>
                <c:pt idx="0">
                  <c:v>Cumulative
Profit</c:v>
                </c:pt>
              </c:strCache>
            </c:strRef>
          </c:tx>
          <c:spPr>
            <a:ln w="19050" cap="rnd">
              <a:solidFill>
                <a:schemeClr val="tx1"/>
              </a:solidFill>
              <a:round/>
            </a:ln>
            <a:effectLst/>
          </c:spPr>
          <c:marker>
            <c:symbol val="circle"/>
            <c:size val="4"/>
            <c:spPr>
              <a:solidFill>
                <a:schemeClr val="tx1"/>
              </a:solidFill>
              <a:ln w="12700">
                <a:solidFill>
                  <a:schemeClr val="tx1"/>
                </a:solidFill>
              </a:ln>
              <a:effectLst/>
            </c:spPr>
          </c:marker>
          <c:cat>
            <c:strRef>
              <c:f>'2. Return on Investment Summary'!$B$9:$B$18</c:f>
              <c:strCache>
                <c:ptCount val="10"/>
                <c:pt idx="0">
                  <c:v>Y1</c:v>
                </c:pt>
                <c:pt idx="1">
                  <c:v>Y2</c:v>
                </c:pt>
                <c:pt idx="2">
                  <c:v>Y3</c:v>
                </c:pt>
                <c:pt idx="3">
                  <c:v>Y4</c:v>
                </c:pt>
                <c:pt idx="4">
                  <c:v>Y5</c:v>
                </c:pt>
                <c:pt idx="5">
                  <c:v>Y6</c:v>
                </c:pt>
                <c:pt idx="6">
                  <c:v>Y7</c:v>
                </c:pt>
                <c:pt idx="7">
                  <c:v>Y8</c:v>
                </c:pt>
                <c:pt idx="8">
                  <c:v>Y9</c:v>
                </c:pt>
                <c:pt idx="9">
                  <c:v>Y10</c:v>
                </c:pt>
              </c:strCache>
            </c:strRef>
          </c:cat>
          <c:val>
            <c:numRef>
              <c:f>'2. Return on Investment Summary'!$G$9:$G$18</c:f>
              <c:numCache>
                <c:formatCode>_("$"* #,##0.00_);_("$"* \(#,##0.00\);_("$"* "-"??_);_(@_)</c:formatCode>
                <c:ptCount val="10"/>
                <c:pt idx="0">
                  <c:v>-61.949999999999818</c:v>
                </c:pt>
                <c:pt idx="1">
                  <c:v>-123.89999999999964</c:v>
                </c:pt>
                <c:pt idx="2">
                  <c:v>-185.84999999999945</c:v>
                </c:pt>
                <c:pt idx="3">
                  <c:v>-247.79999999999927</c:v>
                </c:pt>
                <c:pt idx="4">
                  <c:v>-309.74999999999909</c:v>
                </c:pt>
                <c:pt idx="5">
                  <c:v>-371.69999999999891</c:v>
                </c:pt>
                <c:pt idx="6">
                  <c:v>-433.64999999999873</c:v>
                </c:pt>
                <c:pt idx="7">
                  <c:v>-495.59999999999854</c:v>
                </c:pt>
                <c:pt idx="8">
                  <c:v>-557.54999999999836</c:v>
                </c:pt>
                <c:pt idx="9">
                  <c:v>-619.49999999999818</c:v>
                </c:pt>
              </c:numCache>
            </c:numRef>
          </c:val>
          <c:smooth val="0"/>
          <c:extLst>
            <c:ext xmlns:c16="http://schemas.microsoft.com/office/drawing/2014/chart" uri="{C3380CC4-5D6E-409C-BE32-E72D297353CC}">
              <c16:uniqueId val="{00000007-72FE-C246-8133-EAC2C2948F2E}"/>
            </c:ext>
          </c:extLst>
        </c:ser>
        <c:dLbls>
          <c:showLegendKey val="0"/>
          <c:showVal val="0"/>
          <c:showCatName val="0"/>
          <c:showSerName val="0"/>
          <c:showPercent val="0"/>
          <c:showBubbleSize val="0"/>
        </c:dLbls>
        <c:marker val="1"/>
        <c:smooth val="0"/>
        <c:axId val="157978160"/>
        <c:axId val="157979792"/>
      </c:lineChart>
      <c:catAx>
        <c:axId val="157978160"/>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crossAx val="157979792"/>
        <c:crosses val="autoZero"/>
        <c:auto val="1"/>
        <c:lblAlgn val="ctr"/>
        <c:lblOffset val="100"/>
        <c:noMultiLvlLbl val="0"/>
      </c:catAx>
      <c:valAx>
        <c:axId val="157979792"/>
        <c:scaling>
          <c:orientation val="minMax"/>
        </c:scaling>
        <c:delete val="0"/>
        <c:axPos val="l"/>
        <c:majorGridlines>
          <c:spPr>
            <a:ln w="9525" cap="flat" cmpd="sng" algn="ctr">
              <a:solidFill>
                <a:schemeClr val="tx1">
                  <a:lumMod val="15000"/>
                  <a:lumOff val="85000"/>
                </a:schemeClr>
              </a:solidFill>
              <a:round/>
            </a:ln>
            <a:effectLst/>
          </c:spPr>
        </c:majorGridlines>
        <c:numFmt formatCode="&quot;$&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crossAx val="157978160"/>
        <c:crosses val="autoZero"/>
        <c:crossBetween val="between"/>
      </c:valAx>
      <c:spPr>
        <a:noFill/>
        <a:ln>
          <a:noFill/>
        </a:ln>
        <a:effectLst/>
      </c:spPr>
    </c:plotArea>
    <c:legend>
      <c:legendPos val="b"/>
      <c:layout>
        <c:manualLayout>
          <c:xMode val="edge"/>
          <c:yMode val="edge"/>
          <c:x val="0"/>
          <c:y val="0.84909282502321404"/>
          <c:w val="0.99661754323893581"/>
          <c:h val="0.14599966227038541"/>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solidFill>
      <a:round/>
    </a:ln>
    <a:effectLst/>
  </c:spPr>
  <c:txPr>
    <a:bodyPr/>
    <a:lstStyle/>
    <a:p>
      <a:pPr>
        <a:defRPr>
          <a:solidFill>
            <a:schemeClr val="tx1"/>
          </a:solidFill>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'2. Return on Investment Summary'!$C$25</c:f>
              <c:strCache>
                <c:ptCount val="1"/>
                <c:pt idx="0">
                  <c:v>Expenses</c:v>
                </c:pt>
              </c:strCache>
            </c:strRef>
          </c:tx>
          <c:spPr>
            <a:solidFill>
              <a:srgbClr val="FF0000"/>
            </a:solidFill>
            <a:ln>
              <a:solidFill>
                <a:srgbClr val="FF0000"/>
              </a:solidFill>
            </a:ln>
            <a:effectLst/>
          </c:spPr>
          <c:invertIfNegative val="0"/>
          <c:cat>
            <c:strRef>
              <c:f>'2. Return on Investment Summary'!$B$26:$B$35</c:f>
              <c:strCache>
                <c:ptCount val="10"/>
                <c:pt idx="0">
                  <c:v>Y1</c:v>
                </c:pt>
                <c:pt idx="1">
                  <c:v>Y2</c:v>
                </c:pt>
                <c:pt idx="2">
                  <c:v>Y3</c:v>
                </c:pt>
                <c:pt idx="3">
                  <c:v>Y4</c:v>
                </c:pt>
                <c:pt idx="4">
                  <c:v>Y5</c:v>
                </c:pt>
                <c:pt idx="5">
                  <c:v>Y6</c:v>
                </c:pt>
                <c:pt idx="6">
                  <c:v>Y7</c:v>
                </c:pt>
                <c:pt idx="7">
                  <c:v>Y8</c:v>
                </c:pt>
                <c:pt idx="8">
                  <c:v>Y9</c:v>
                </c:pt>
                <c:pt idx="9">
                  <c:v>Y10</c:v>
                </c:pt>
              </c:strCache>
            </c:strRef>
          </c:cat>
          <c:val>
            <c:numRef>
              <c:f>'2. Return on Investment Summary'!$C$26:$C$35</c:f>
              <c:numCache>
                <c:formatCode>_("$"* #,##0.00_);_("$"* \(#,##0.00\);_("$"* "-"??_);_(@_)</c:formatCode>
                <c:ptCount val="10"/>
                <c:pt idx="0">
                  <c:v>-5900</c:v>
                </c:pt>
                <c:pt idx="1">
                  <c:v>-3900</c:v>
                </c:pt>
                <c:pt idx="2">
                  <c:v>-3900</c:v>
                </c:pt>
                <c:pt idx="3">
                  <c:v>-3720</c:v>
                </c:pt>
                <c:pt idx="4">
                  <c:v>-3720</c:v>
                </c:pt>
                <c:pt idx="5">
                  <c:v>-5900</c:v>
                </c:pt>
                <c:pt idx="6">
                  <c:v>-3900</c:v>
                </c:pt>
                <c:pt idx="7">
                  <c:v>-3900</c:v>
                </c:pt>
                <c:pt idx="8">
                  <c:v>-3720</c:v>
                </c:pt>
                <c:pt idx="9">
                  <c:v>-3720</c:v>
                </c:pt>
              </c:numCache>
            </c:numRef>
          </c:val>
          <c:extLst>
            <c:ext xmlns:c16="http://schemas.microsoft.com/office/drawing/2014/chart" uri="{C3380CC4-5D6E-409C-BE32-E72D297353CC}">
              <c16:uniqueId val="{00000000-8CFF-E44F-BB38-9125FF334250}"/>
            </c:ext>
          </c:extLst>
        </c:ser>
        <c:ser>
          <c:idx val="1"/>
          <c:order val="1"/>
          <c:tx>
            <c:strRef>
              <c:f>'2. Return on Investment Summary'!$E$25</c:f>
              <c:strCache>
                <c:ptCount val="1"/>
                <c:pt idx="0">
                  <c:v>Revenue</c:v>
                </c:pt>
              </c:strCache>
            </c:strRef>
          </c:tx>
          <c:spPr>
            <a:solidFill>
              <a:schemeClr val="bg1">
                <a:lumMod val="50000"/>
              </a:schemeClr>
            </a:solidFill>
            <a:ln>
              <a:solidFill>
                <a:schemeClr val="bg1">
                  <a:lumMod val="50000"/>
                </a:schemeClr>
              </a:solidFill>
            </a:ln>
            <a:effectLst/>
          </c:spPr>
          <c:invertIfNegative val="0"/>
          <c:cat>
            <c:strRef>
              <c:f>'2. Return on Investment Summary'!$B$26:$B$35</c:f>
              <c:strCache>
                <c:ptCount val="10"/>
                <c:pt idx="0">
                  <c:v>Y1</c:v>
                </c:pt>
                <c:pt idx="1">
                  <c:v>Y2</c:v>
                </c:pt>
                <c:pt idx="2">
                  <c:v>Y3</c:v>
                </c:pt>
                <c:pt idx="3">
                  <c:v>Y4</c:v>
                </c:pt>
                <c:pt idx="4">
                  <c:v>Y5</c:v>
                </c:pt>
                <c:pt idx="5">
                  <c:v>Y6</c:v>
                </c:pt>
                <c:pt idx="6">
                  <c:v>Y7</c:v>
                </c:pt>
                <c:pt idx="7">
                  <c:v>Y8</c:v>
                </c:pt>
                <c:pt idx="8">
                  <c:v>Y9</c:v>
                </c:pt>
                <c:pt idx="9">
                  <c:v>Y10</c:v>
                </c:pt>
              </c:strCache>
            </c:strRef>
          </c:cat>
          <c:val>
            <c:numRef>
              <c:f>'2. Return on Investment Summary'!$E$26:$E$35</c:f>
              <c:numCache>
                <c:formatCode>_("$"* #,##0.00_);_("$"* \(#,##0.00\);_("$"* "-"??_);_(@_)</c:formatCode>
                <c:ptCount val="10"/>
                <c:pt idx="0">
                  <c:v>1829.0250000000001</c:v>
                </c:pt>
                <c:pt idx="1">
                  <c:v>4938.3675000000003</c:v>
                </c:pt>
                <c:pt idx="2">
                  <c:v>4572.5625</c:v>
                </c:pt>
                <c:pt idx="3">
                  <c:v>4572.5625</c:v>
                </c:pt>
                <c:pt idx="4">
                  <c:v>4572.5625</c:v>
                </c:pt>
                <c:pt idx="5">
                  <c:v>2286.28125</c:v>
                </c:pt>
                <c:pt idx="6">
                  <c:v>6172.9593750000004</c:v>
                </c:pt>
                <c:pt idx="7">
                  <c:v>5715.703125</c:v>
                </c:pt>
                <c:pt idx="8">
                  <c:v>5715.703125</c:v>
                </c:pt>
                <c:pt idx="9">
                  <c:v>5715.703125</c:v>
                </c:pt>
              </c:numCache>
            </c:numRef>
          </c:val>
          <c:extLst>
            <c:ext xmlns:c16="http://schemas.microsoft.com/office/drawing/2014/chart" uri="{C3380CC4-5D6E-409C-BE32-E72D297353CC}">
              <c16:uniqueId val="{00000003-8CFF-E44F-BB38-9125FF334250}"/>
            </c:ext>
          </c:extLst>
        </c:ser>
        <c:dLbls>
          <c:showLegendKey val="0"/>
          <c:showVal val="0"/>
          <c:showCatName val="0"/>
          <c:showSerName val="0"/>
          <c:showPercent val="0"/>
          <c:showBubbleSize val="0"/>
        </c:dLbls>
        <c:gapWidth val="100"/>
        <c:overlap val="100"/>
        <c:axId val="157978160"/>
        <c:axId val="157979792"/>
      </c:barChart>
      <c:lineChart>
        <c:grouping val="standard"/>
        <c:varyColors val="0"/>
        <c:ser>
          <c:idx val="2"/>
          <c:order val="2"/>
          <c:tx>
            <c:strRef>
              <c:f>'2. Return on Investment Summary'!$G$25</c:f>
              <c:strCache>
                <c:ptCount val="1"/>
                <c:pt idx="0">
                  <c:v>Cumulative
Profit</c:v>
                </c:pt>
              </c:strCache>
            </c:strRef>
          </c:tx>
          <c:spPr>
            <a:ln w="19050" cap="rnd">
              <a:solidFill>
                <a:schemeClr val="tx1"/>
              </a:solidFill>
              <a:round/>
            </a:ln>
            <a:effectLst/>
          </c:spPr>
          <c:marker>
            <c:symbol val="circle"/>
            <c:size val="4"/>
            <c:spPr>
              <a:solidFill>
                <a:schemeClr val="tx1"/>
              </a:solidFill>
              <a:ln w="12700">
                <a:solidFill>
                  <a:schemeClr val="tx1"/>
                </a:solidFill>
              </a:ln>
              <a:effectLst/>
            </c:spPr>
          </c:marker>
          <c:cat>
            <c:strRef>
              <c:f>'2. Return on Investment Summary'!$B$26:$B$35</c:f>
              <c:strCache>
                <c:ptCount val="10"/>
                <c:pt idx="0">
                  <c:v>Y1</c:v>
                </c:pt>
                <c:pt idx="1">
                  <c:v>Y2</c:v>
                </c:pt>
                <c:pt idx="2">
                  <c:v>Y3</c:v>
                </c:pt>
                <c:pt idx="3">
                  <c:v>Y4</c:v>
                </c:pt>
                <c:pt idx="4">
                  <c:v>Y5</c:v>
                </c:pt>
                <c:pt idx="5">
                  <c:v>Y6</c:v>
                </c:pt>
                <c:pt idx="6">
                  <c:v>Y7</c:v>
                </c:pt>
                <c:pt idx="7">
                  <c:v>Y8</c:v>
                </c:pt>
                <c:pt idx="8">
                  <c:v>Y9</c:v>
                </c:pt>
                <c:pt idx="9">
                  <c:v>Y10</c:v>
                </c:pt>
              </c:strCache>
            </c:strRef>
          </c:cat>
          <c:val>
            <c:numRef>
              <c:f>'2. Return on Investment Summary'!$G$26:$G$35</c:f>
              <c:numCache>
                <c:formatCode>_("$"* #,##0.00_);_("$"* \(#,##0.00\);_("$"* "-"??_);_(@_)</c:formatCode>
                <c:ptCount val="10"/>
                <c:pt idx="0">
                  <c:v>-4070.9749999999999</c:v>
                </c:pt>
                <c:pt idx="1">
                  <c:v>-3032.6074999999996</c:v>
                </c:pt>
                <c:pt idx="2">
                  <c:v>-2360.0449999999996</c:v>
                </c:pt>
                <c:pt idx="3">
                  <c:v>-1507.4824999999996</c:v>
                </c:pt>
                <c:pt idx="4">
                  <c:v>-654.91999999999962</c:v>
                </c:pt>
                <c:pt idx="5">
                  <c:v>-4268.6387500000001</c:v>
                </c:pt>
                <c:pt idx="6">
                  <c:v>-1995.6793749999997</c:v>
                </c:pt>
                <c:pt idx="7">
                  <c:v>-179.97624999999971</c:v>
                </c:pt>
                <c:pt idx="8">
                  <c:v>1815.7268750000003</c:v>
                </c:pt>
                <c:pt idx="9">
                  <c:v>3811.4300000000003</c:v>
                </c:pt>
              </c:numCache>
            </c:numRef>
          </c:val>
          <c:smooth val="0"/>
          <c:extLst>
            <c:ext xmlns:c16="http://schemas.microsoft.com/office/drawing/2014/chart" uri="{C3380CC4-5D6E-409C-BE32-E72D297353CC}">
              <c16:uniqueId val="{00000004-8CFF-E44F-BB38-9125FF334250}"/>
            </c:ext>
          </c:extLst>
        </c:ser>
        <c:dLbls>
          <c:showLegendKey val="0"/>
          <c:showVal val="0"/>
          <c:showCatName val="0"/>
          <c:showSerName val="0"/>
          <c:showPercent val="0"/>
          <c:showBubbleSize val="0"/>
        </c:dLbls>
        <c:marker val="1"/>
        <c:smooth val="0"/>
        <c:axId val="157978160"/>
        <c:axId val="157979792"/>
      </c:lineChart>
      <c:catAx>
        <c:axId val="157978160"/>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crossAx val="157979792"/>
        <c:crosses val="autoZero"/>
        <c:auto val="1"/>
        <c:lblAlgn val="ctr"/>
        <c:lblOffset val="100"/>
        <c:noMultiLvlLbl val="0"/>
      </c:catAx>
      <c:valAx>
        <c:axId val="157979792"/>
        <c:scaling>
          <c:orientation val="minMax"/>
        </c:scaling>
        <c:delete val="0"/>
        <c:axPos val="l"/>
        <c:majorGridlines>
          <c:spPr>
            <a:ln w="9525" cap="flat" cmpd="sng" algn="ctr">
              <a:solidFill>
                <a:schemeClr val="tx1">
                  <a:lumMod val="15000"/>
                  <a:lumOff val="85000"/>
                </a:schemeClr>
              </a:solidFill>
              <a:round/>
            </a:ln>
            <a:effectLst/>
          </c:spPr>
        </c:majorGridlines>
        <c:numFmt formatCode="&quot;$&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crossAx val="157978160"/>
        <c:crosses val="autoZero"/>
        <c:crossBetween val="between"/>
      </c:valAx>
      <c:spPr>
        <a:noFill/>
        <a:ln>
          <a:noFill/>
        </a:ln>
        <a:effectLst/>
      </c:spPr>
    </c:plotArea>
    <c:legend>
      <c:legendPos val="b"/>
      <c:layout>
        <c:manualLayout>
          <c:xMode val="edge"/>
          <c:yMode val="edge"/>
          <c:x val="0"/>
          <c:y val="0.86872287584881613"/>
          <c:w val="0.99910074151969774"/>
          <c:h val="0.1243300955342020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solidFill>
      <a:round/>
    </a:ln>
    <a:effectLst/>
  </c:spPr>
  <c:txPr>
    <a:bodyPr/>
    <a:lstStyle/>
    <a:p>
      <a:pPr>
        <a:defRPr>
          <a:solidFill>
            <a:schemeClr val="tx1"/>
          </a:solidFill>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'2. Return on Investment Summary'!$C$39</c:f>
              <c:strCache>
                <c:ptCount val="1"/>
                <c:pt idx="0">
                  <c:v>Expenses</c:v>
                </c:pt>
              </c:strCache>
            </c:strRef>
          </c:tx>
          <c:spPr>
            <a:solidFill>
              <a:srgbClr val="FF0000"/>
            </a:solidFill>
            <a:ln>
              <a:solidFill>
                <a:srgbClr val="FF0000"/>
              </a:solidFill>
            </a:ln>
            <a:effectLst/>
          </c:spPr>
          <c:invertIfNegative val="0"/>
          <c:cat>
            <c:strRef>
              <c:f>'2. Return on Investment Summary'!$B$40:$B$49</c:f>
              <c:strCache>
                <c:ptCount val="10"/>
                <c:pt idx="0">
                  <c:v>Y1</c:v>
                </c:pt>
                <c:pt idx="1">
                  <c:v>Y2</c:v>
                </c:pt>
                <c:pt idx="2">
                  <c:v>Y3</c:v>
                </c:pt>
                <c:pt idx="3">
                  <c:v>Y4</c:v>
                </c:pt>
                <c:pt idx="4">
                  <c:v>Y5</c:v>
                </c:pt>
                <c:pt idx="5">
                  <c:v>Y6</c:v>
                </c:pt>
                <c:pt idx="6">
                  <c:v>Y7</c:v>
                </c:pt>
                <c:pt idx="7">
                  <c:v>Y8</c:v>
                </c:pt>
                <c:pt idx="8">
                  <c:v>Y9</c:v>
                </c:pt>
                <c:pt idx="9">
                  <c:v>Y10</c:v>
                </c:pt>
              </c:strCache>
            </c:strRef>
          </c:cat>
          <c:val>
            <c:numRef>
              <c:f>'2. Return on Investment Summary'!$C$40:$C$49</c:f>
              <c:numCache>
                <c:formatCode>_("$"* #,##0.00_);_("$"* \(#,##0.00\);_("$"* "-"??_);_(@_)</c:formatCode>
                <c:ptCount val="10"/>
                <c:pt idx="0">
                  <c:v>-3830</c:v>
                </c:pt>
                <c:pt idx="1">
                  <c:v>-3800</c:v>
                </c:pt>
                <c:pt idx="2">
                  <c:v>-3900</c:v>
                </c:pt>
                <c:pt idx="3">
                  <c:v>-3720</c:v>
                </c:pt>
                <c:pt idx="4">
                  <c:v>-3720</c:v>
                </c:pt>
                <c:pt idx="5">
                  <c:v>-3720</c:v>
                </c:pt>
                <c:pt idx="6">
                  <c:v>-3720</c:v>
                </c:pt>
                <c:pt idx="7">
                  <c:v>-3720</c:v>
                </c:pt>
                <c:pt idx="8">
                  <c:v>-3720</c:v>
                </c:pt>
                <c:pt idx="9">
                  <c:v>-3720</c:v>
                </c:pt>
              </c:numCache>
            </c:numRef>
          </c:val>
          <c:extLst>
            <c:ext xmlns:c16="http://schemas.microsoft.com/office/drawing/2014/chart" uri="{C3380CC4-5D6E-409C-BE32-E72D297353CC}">
              <c16:uniqueId val="{00000000-0B24-314A-92A0-A91D3EB49324}"/>
            </c:ext>
          </c:extLst>
        </c:ser>
        <c:ser>
          <c:idx val="1"/>
          <c:order val="1"/>
          <c:tx>
            <c:strRef>
              <c:f>'2. Return on Investment Summary'!$E$39</c:f>
              <c:strCache>
                <c:ptCount val="1"/>
                <c:pt idx="0">
                  <c:v>Revenue</c:v>
                </c:pt>
              </c:strCache>
            </c:strRef>
          </c:tx>
          <c:spPr>
            <a:solidFill>
              <a:schemeClr val="bg1">
                <a:lumMod val="50000"/>
              </a:schemeClr>
            </a:solidFill>
            <a:ln>
              <a:solidFill>
                <a:schemeClr val="bg1">
                  <a:lumMod val="50000"/>
                </a:schemeClr>
              </a:solidFill>
            </a:ln>
            <a:effectLst/>
          </c:spPr>
          <c:invertIfNegative val="0"/>
          <c:cat>
            <c:strRef>
              <c:f>'2. Return on Investment Summary'!$B$40:$B$49</c:f>
              <c:strCache>
                <c:ptCount val="10"/>
                <c:pt idx="0">
                  <c:v>Y1</c:v>
                </c:pt>
                <c:pt idx="1">
                  <c:v>Y2</c:v>
                </c:pt>
                <c:pt idx="2">
                  <c:v>Y3</c:v>
                </c:pt>
                <c:pt idx="3">
                  <c:v>Y4</c:v>
                </c:pt>
                <c:pt idx="4">
                  <c:v>Y5</c:v>
                </c:pt>
                <c:pt idx="5">
                  <c:v>Y6</c:v>
                </c:pt>
                <c:pt idx="6">
                  <c:v>Y7</c:v>
                </c:pt>
                <c:pt idx="7">
                  <c:v>Y8</c:v>
                </c:pt>
                <c:pt idx="8">
                  <c:v>Y9</c:v>
                </c:pt>
                <c:pt idx="9">
                  <c:v>Y10</c:v>
                </c:pt>
              </c:strCache>
            </c:strRef>
          </c:cat>
          <c:val>
            <c:numRef>
              <c:f>'2. Return on Investment Summary'!$E$40:$E$49</c:f>
              <c:numCache>
                <c:formatCode>_("$"* #,##0.00_);_("$"* \(#,##0.00\);_("$"* "-"??_);_(@_)</c:formatCode>
                <c:ptCount val="10"/>
                <c:pt idx="0">
                  <c:v>0</c:v>
                </c:pt>
                <c:pt idx="1">
                  <c:v>1829.0250000000001</c:v>
                </c:pt>
                <c:pt idx="2">
                  <c:v>2743.5375000000004</c:v>
                </c:pt>
                <c:pt idx="3">
                  <c:v>3658.05</c:v>
                </c:pt>
                <c:pt idx="4">
                  <c:v>3658.05</c:v>
                </c:pt>
                <c:pt idx="5">
                  <c:v>3658.05</c:v>
                </c:pt>
                <c:pt idx="6">
                  <c:v>3658.05</c:v>
                </c:pt>
                <c:pt idx="7">
                  <c:v>3658.05</c:v>
                </c:pt>
                <c:pt idx="8">
                  <c:v>3658.05</c:v>
                </c:pt>
                <c:pt idx="9">
                  <c:v>3658.05</c:v>
                </c:pt>
              </c:numCache>
            </c:numRef>
          </c:val>
          <c:extLst>
            <c:ext xmlns:c16="http://schemas.microsoft.com/office/drawing/2014/chart" uri="{C3380CC4-5D6E-409C-BE32-E72D297353CC}">
              <c16:uniqueId val="{00000003-0B24-314A-92A0-A91D3EB49324}"/>
            </c:ext>
          </c:extLst>
        </c:ser>
        <c:dLbls>
          <c:showLegendKey val="0"/>
          <c:showVal val="0"/>
          <c:showCatName val="0"/>
          <c:showSerName val="0"/>
          <c:showPercent val="0"/>
          <c:showBubbleSize val="0"/>
        </c:dLbls>
        <c:gapWidth val="100"/>
        <c:overlap val="100"/>
        <c:axId val="157978160"/>
        <c:axId val="157979792"/>
      </c:barChart>
      <c:lineChart>
        <c:grouping val="standard"/>
        <c:varyColors val="0"/>
        <c:ser>
          <c:idx val="2"/>
          <c:order val="2"/>
          <c:tx>
            <c:strRef>
              <c:f>'2. Return on Investment Summary'!$G$39</c:f>
              <c:strCache>
                <c:ptCount val="1"/>
                <c:pt idx="0">
                  <c:v>Cumulative
Profit</c:v>
                </c:pt>
              </c:strCache>
            </c:strRef>
          </c:tx>
          <c:spPr>
            <a:ln w="19050" cap="rnd">
              <a:solidFill>
                <a:schemeClr val="tx1"/>
              </a:solidFill>
              <a:round/>
            </a:ln>
            <a:effectLst/>
          </c:spPr>
          <c:marker>
            <c:symbol val="circle"/>
            <c:size val="4"/>
            <c:spPr>
              <a:solidFill>
                <a:schemeClr val="tx1"/>
              </a:solidFill>
              <a:ln w="12700">
                <a:solidFill>
                  <a:schemeClr val="tx1"/>
                </a:solidFill>
              </a:ln>
              <a:effectLst/>
            </c:spPr>
          </c:marker>
          <c:cat>
            <c:strRef>
              <c:f>'2. Return on Investment Summary'!$B$40:$B$49</c:f>
              <c:strCache>
                <c:ptCount val="10"/>
                <c:pt idx="0">
                  <c:v>Y1</c:v>
                </c:pt>
                <c:pt idx="1">
                  <c:v>Y2</c:v>
                </c:pt>
                <c:pt idx="2">
                  <c:v>Y3</c:v>
                </c:pt>
                <c:pt idx="3">
                  <c:v>Y4</c:v>
                </c:pt>
                <c:pt idx="4">
                  <c:v>Y5</c:v>
                </c:pt>
                <c:pt idx="5">
                  <c:v>Y6</c:v>
                </c:pt>
                <c:pt idx="6">
                  <c:v>Y7</c:v>
                </c:pt>
                <c:pt idx="7">
                  <c:v>Y8</c:v>
                </c:pt>
                <c:pt idx="8">
                  <c:v>Y9</c:v>
                </c:pt>
                <c:pt idx="9">
                  <c:v>Y10</c:v>
                </c:pt>
              </c:strCache>
            </c:strRef>
          </c:cat>
          <c:val>
            <c:numRef>
              <c:f>'2. Return on Investment Summary'!$G$40:$G$49</c:f>
              <c:numCache>
                <c:formatCode>_("$"* #,##0.00_);_("$"* \(#,##0.00\);_("$"* "-"??_);_(@_)</c:formatCode>
                <c:ptCount val="10"/>
                <c:pt idx="0">
                  <c:v>-3830</c:v>
                </c:pt>
                <c:pt idx="1">
                  <c:v>-5800.9750000000004</c:v>
                </c:pt>
                <c:pt idx="2">
                  <c:v>-6957.4375</c:v>
                </c:pt>
                <c:pt idx="3">
                  <c:v>-7019.3874999999998</c:v>
                </c:pt>
                <c:pt idx="4">
                  <c:v>-7081.3374999999996</c:v>
                </c:pt>
                <c:pt idx="5">
                  <c:v>-7143.2874999999995</c:v>
                </c:pt>
                <c:pt idx="6">
                  <c:v>-7205.2374999999993</c:v>
                </c:pt>
                <c:pt idx="7">
                  <c:v>-7267.1874999999991</c:v>
                </c:pt>
                <c:pt idx="8">
                  <c:v>-7329.1374999999989</c:v>
                </c:pt>
                <c:pt idx="9">
                  <c:v>-7391.0874999999987</c:v>
                </c:pt>
              </c:numCache>
            </c:numRef>
          </c:val>
          <c:smooth val="0"/>
          <c:extLst>
            <c:ext xmlns:c16="http://schemas.microsoft.com/office/drawing/2014/chart" uri="{C3380CC4-5D6E-409C-BE32-E72D297353CC}">
              <c16:uniqueId val="{00000004-0B24-314A-92A0-A91D3EB49324}"/>
            </c:ext>
          </c:extLst>
        </c:ser>
        <c:dLbls>
          <c:showLegendKey val="0"/>
          <c:showVal val="0"/>
          <c:showCatName val="0"/>
          <c:showSerName val="0"/>
          <c:showPercent val="0"/>
          <c:showBubbleSize val="0"/>
        </c:dLbls>
        <c:marker val="1"/>
        <c:smooth val="0"/>
        <c:axId val="157978160"/>
        <c:axId val="157979792"/>
      </c:lineChart>
      <c:catAx>
        <c:axId val="157978160"/>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crossAx val="157979792"/>
        <c:crosses val="autoZero"/>
        <c:auto val="1"/>
        <c:lblAlgn val="ctr"/>
        <c:lblOffset val="100"/>
        <c:noMultiLvlLbl val="0"/>
      </c:catAx>
      <c:valAx>
        <c:axId val="157979792"/>
        <c:scaling>
          <c:orientation val="minMax"/>
        </c:scaling>
        <c:delete val="0"/>
        <c:axPos val="l"/>
        <c:majorGridlines>
          <c:spPr>
            <a:ln w="9525" cap="flat" cmpd="sng" algn="ctr">
              <a:solidFill>
                <a:schemeClr val="tx1">
                  <a:lumMod val="15000"/>
                  <a:lumOff val="85000"/>
                </a:schemeClr>
              </a:solidFill>
              <a:round/>
            </a:ln>
            <a:effectLst/>
          </c:spPr>
        </c:majorGridlines>
        <c:numFmt formatCode="&quot;$&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crossAx val="157978160"/>
        <c:crosses val="autoZero"/>
        <c:crossBetween val="between"/>
      </c:valAx>
      <c:spPr>
        <a:noFill/>
        <a:ln>
          <a:noFill/>
        </a:ln>
        <a:effectLst/>
      </c:spPr>
    </c:plotArea>
    <c:legend>
      <c:legendPos val="b"/>
      <c:layout>
        <c:manualLayout>
          <c:xMode val="edge"/>
          <c:yMode val="edge"/>
          <c:x val="0"/>
          <c:y val="0.86872287584881613"/>
          <c:w val="0.99314541399709444"/>
          <c:h val="0.13127693870427529"/>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solidFill>
      <a:round/>
    </a:ln>
    <a:effectLst/>
  </c:spPr>
  <c:txPr>
    <a:bodyPr/>
    <a:lstStyle/>
    <a:p>
      <a:pPr>
        <a:defRPr>
          <a:solidFill>
            <a:schemeClr val="tx1"/>
          </a:solidFill>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'2. Return on Investment Summary'!$C$54</c:f>
              <c:strCache>
                <c:ptCount val="1"/>
                <c:pt idx="0">
                  <c:v>Expenses</c:v>
                </c:pt>
              </c:strCache>
            </c:strRef>
          </c:tx>
          <c:spPr>
            <a:solidFill>
              <a:srgbClr val="FF0000"/>
            </a:solidFill>
            <a:ln>
              <a:solidFill>
                <a:srgbClr val="FF0000"/>
              </a:solidFill>
            </a:ln>
            <a:effectLst/>
          </c:spPr>
          <c:invertIfNegative val="0"/>
          <c:cat>
            <c:strRef>
              <c:f>'2. Return on Investment Summary'!$B$55:$B$64</c:f>
              <c:strCache>
                <c:ptCount val="10"/>
                <c:pt idx="0">
                  <c:v>Y1</c:v>
                </c:pt>
                <c:pt idx="1">
                  <c:v>Y2</c:v>
                </c:pt>
                <c:pt idx="2">
                  <c:v>Y3</c:v>
                </c:pt>
                <c:pt idx="3">
                  <c:v>Y4</c:v>
                </c:pt>
                <c:pt idx="4">
                  <c:v>Y5</c:v>
                </c:pt>
                <c:pt idx="5">
                  <c:v>Y6</c:v>
                </c:pt>
                <c:pt idx="6">
                  <c:v>Y7</c:v>
                </c:pt>
                <c:pt idx="7">
                  <c:v>Y8</c:v>
                </c:pt>
                <c:pt idx="8">
                  <c:v>Y9</c:v>
                </c:pt>
                <c:pt idx="9">
                  <c:v>Y10</c:v>
                </c:pt>
              </c:strCache>
            </c:strRef>
          </c:cat>
          <c:val>
            <c:numRef>
              <c:f>'2. Return on Investment Summary'!$C$55:$C$64</c:f>
              <c:numCache>
                <c:formatCode>_("$"* #,##0.00_);_("$"* \(#,##0.00\);_("$"* "-"??_);_(@_)</c:formatCode>
                <c:ptCount val="10"/>
                <c:pt idx="0">
                  <c:v>-15800.33</c:v>
                </c:pt>
                <c:pt idx="1">
                  <c:v>-5462.75</c:v>
                </c:pt>
                <c:pt idx="2">
                  <c:v>-4731.375</c:v>
                </c:pt>
                <c:pt idx="3">
                  <c:v>-3720</c:v>
                </c:pt>
                <c:pt idx="4">
                  <c:v>-3720</c:v>
                </c:pt>
                <c:pt idx="5">
                  <c:v>-3720</c:v>
                </c:pt>
                <c:pt idx="6">
                  <c:v>-3720</c:v>
                </c:pt>
                <c:pt idx="7">
                  <c:v>-3720</c:v>
                </c:pt>
                <c:pt idx="8">
                  <c:v>-3720</c:v>
                </c:pt>
                <c:pt idx="9">
                  <c:v>-3720</c:v>
                </c:pt>
              </c:numCache>
            </c:numRef>
          </c:val>
          <c:extLst>
            <c:ext xmlns:c16="http://schemas.microsoft.com/office/drawing/2014/chart" uri="{C3380CC4-5D6E-409C-BE32-E72D297353CC}">
              <c16:uniqueId val="{00000000-3E8C-D84C-BFAE-540F97415891}"/>
            </c:ext>
          </c:extLst>
        </c:ser>
        <c:ser>
          <c:idx val="1"/>
          <c:order val="1"/>
          <c:tx>
            <c:strRef>
              <c:f>'2. Return on Investment Summary'!$E$54</c:f>
              <c:strCache>
                <c:ptCount val="1"/>
                <c:pt idx="0">
                  <c:v>Revenue</c:v>
                </c:pt>
              </c:strCache>
            </c:strRef>
          </c:tx>
          <c:spPr>
            <a:solidFill>
              <a:schemeClr val="bg1">
                <a:lumMod val="50000"/>
              </a:schemeClr>
            </a:solidFill>
            <a:ln>
              <a:solidFill>
                <a:schemeClr val="bg1">
                  <a:lumMod val="50000"/>
                </a:schemeClr>
              </a:solidFill>
            </a:ln>
            <a:effectLst/>
          </c:spPr>
          <c:invertIfNegative val="0"/>
          <c:cat>
            <c:strRef>
              <c:f>'2. Return on Investment Summary'!$B$55:$B$64</c:f>
              <c:strCache>
                <c:ptCount val="10"/>
                <c:pt idx="0">
                  <c:v>Y1</c:v>
                </c:pt>
                <c:pt idx="1">
                  <c:v>Y2</c:v>
                </c:pt>
                <c:pt idx="2">
                  <c:v>Y3</c:v>
                </c:pt>
                <c:pt idx="3">
                  <c:v>Y4</c:v>
                </c:pt>
                <c:pt idx="4">
                  <c:v>Y5</c:v>
                </c:pt>
                <c:pt idx="5">
                  <c:v>Y6</c:v>
                </c:pt>
                <c:pt idx="6">
                  <c:v>Y7</c:v>
                </c:pt>
                <c:pt idx="7">
                  <c:v>Y8</c:v>
                </c:pt>
                <c:pt idx="8">
                  <c:v>Y9</c:v>
                </c:pt>
                <c:pt idx="9">
                  <c:v>Y10</c:v>
                </c:pt>
              </c:strCache>
            </c:strRef>
          </c:cat>
          <c:val>
            <c:numRef>
              <c:f>'2. Return on Investment Summary'!$E$55:$E$64</c:f>
              <c:numCache>
                <c:formatCode>_("$"* #,##0.00_);_("$"* \(#,##0.00\);_("$"* "-"??_);_(@_)</c:formatCode>
                <c:ptCount val="10"/>
                <c:pt idx="0">
                  <c:v>0</c:v>
                </c:pt>
                <c:pt idx="1">
                  <c:v>5154.5250000000005</c:v>
                </c:pt>
                <c:pt idx="2">
                  <c:v>13302.000000000002</c:v>
                </c:pt>
                <c:pt idx="3">
                  <c:v>13302.000000000002</c:v>
                </c:pt>
                <c:pt idx="4">
                  <c:v>13302.000000000002</c:v>
                </c:pt>
                <c:pt idx="5">
                  <c:v>13302.000000000002</c:v>
                </c:pt>
                <c:pt idx="6">
                  <c:v>13302.000000000002</c:v>
                </c:pt>
                <c:pt idx="7">
                  <c:v>13302.000000000002</c:v>
                </c:pt>
                <c:pt idx="8">
                  <c:v>13302.000000000002</c:v>
                </c:pt>
                <c:pt idx="9">
                  <c:v>13302.000000000002</c:v>
                </c:pt>
              </c:numCache>
            </c:numRef>
          </c:val>
          <c:extLst>
            <c:ext xmlns:c16="http://schemas.microsoft.com/office/drawing/2014/chart" uri="{C3380CC4-5D6E-409C-BE32-E72D297353CC}">
              <c16:uniqueId val="{00000003-3E8C-D84C-BFAE-540F97415891}"/>
            </c:ext>
          </c:extLst>
        </c:ser>
        <c:dLbls>
          <c:showLegendKey val="0"/>
          <c:showVal val="0"/>
          <c:showCatName val="0"/>
          <c:showSerName val="0"/>
          <c:showPercent val="0"/>
          <c:showBubbleSize val="0"/>
        </c:dLbls>
        <c:gapWidth val="100"/>
        <c:overlap val="100"/>
        <c:axId val="157978160"/>
        <c:axId val="157979792"/>
      </c:barChart>
      <c:lineChart>
        <c:grouping val="standard"/>
        <c:varyColors val="0"/>
        <c:ser>
          <c:idx val="2"/>
          <c:order val="2"/>
          <c:tx>
            <c:strRef>
              <c:f>'2. Return on Investment Summary'!$G$54</c:f>
              <c:strCache>
                <c:ptCount val="1"/>
                <c:pt idx="0">
                  <c:v>Cumulative
Profit</c:v>
                </c:pt>
              </c:strCache>
            </c:strRef>
          </c:tx>
          <c:spPr>
            <a:ln w="19050" cap="rnd">
              <a:solidFill>
                <a:schemeClr val="tx1"/>
              </a:solidFill>
              <a:round/>
            </a:ln>
            <a:effectLst/>
          </c:spPr>
          <c:marker>
            <c:symbol val="circle"/>
            <c:size val="4"/>
            <c:spPr>
              <a:solidFill>
                <a:schemeClr val="tx1"/>
              </a:solidFill>
              <a:ln w="6350">
                <a:solidFill>
                  <a:schemeClr val="tx1"/>
                </a:solidFill>
              </a:ln>
              <a:effectLst/>
            </c:spPr>
          </c:marker>
          <c:cat>
            <c:strRef>
              <c:f>'2. Return on Investment Summary'!$B$55:$B$64</c:f>
              <c:strCache>
                <c:ptCount val="10"/>
                <c:pt idx="0">
                  <c:v>Y1</c:v>
                </c:pt>
                <c:pt idx="1">
                  <c:v>Y2</c:v>
                </c:pt>
                <c:pt idx="2">
                  <c:v>Y3</c:v>
                </c:pt>
                <c:pt idx="3">
                  <c:v>Y4</c:v>
                </c:pt>
                <c:pt idx="4">
                  <c:v>Y5</c:v>
                </c:pt>
                <c:pt idx="5">
                  <c:v>Y6</c:v>
                </c:pt>
                <c:pt idx="6">
                  <c:v>Y7</c:v>
                </c:pt>
                <c:pt idx="7">
                  <c:v>Y8</c:v>
                </c:pt>
                <c:pt idx="8">
                  <c:v>Y9</c:v>
                </c:pt>
                <c:pt idx="9">
                  <c:v>Y10</c:v>
                </c:pt>
              </c:strCache>
            </c:strRef>
          </c:cat>
          <c:val>
            <c:numRef>
              <c:f>'2. Return on Investment Summary'!$G$55:$G$64</c:f>
              <c:numCache>
                <c:formatCode>_("$"* #,##0.00_);_("$"* \(#,##0.00\);_("$"* "-"??_);_(@_)</c:formatCode>
                <c:ptCount val="10"/>
                <c:pt idx="0">
                  <c:v>-15800.33</c:v>
                </c:pt>
                <c:pt idx="1">
                  <c:v>-16108.555</c:v>
                </c:pt>
                <c:pt idx="2">
                  <c:v>-7537.9299999999985</c:v>
                </c:pt>
                <c:pt idx="3">
                  <c:v>2044.0700000000033</c:v>
                </c:pt>
                <c:pt idx="4">
                  <c:v>11626.070000000005</c:v>
                </c:pt>
                <c:pt idx="5">
                  <c:v>21208.070000000007</c:v>
                </c:pt>
                <c:pt idx="6">
                  <c:v>30790.070000000007</c:v>
                </c:pt>
                <c:pt idx="7">
                  <c:v>40372.070000000007</c:v>
                </c:pt>
                <c:pt idx="8">
                  <c:v>49954.070000000007</c:v>
                </c:pt>
                <c:pt idx="9">
                  <c:v>59536.070000000007</c:v>
                </c:pt>
              </c:numCache>
            </c:numRef>
          </c:val>
          <c:smooth val="0"/>
          <c:extLst>
            <c:ext xmlns:c16="http://schemas.microsoft.com/office/drawing/2014/chart" uri="{C3380CC4-5D6E-409C-BE32-E72D297353CC}">
              <c16:uniqueId val="{00000004-3E8C-D84C-BFAE-540F97415891}"/>
            </c:ext>
          </c:extLst>
        </c:ser>
        <c:dLbls>
          <c:showLegendKey val="0"/>
          <c:showVal val="0"/>
          <c:showCatName val="0"/>
          <c:showSerName val="0"/>
          <c:showPercent val="0"/>
          <c:showBubbleSize val="0"/>
        </c:dLbls>
        <c:marker val="1"/>
        <c:smooth val="0"/>
        <c:axId val="157978160"/>
        <c:axId val="157979792"/>
      </c:lineChart>
      <c:catAx>
        <c:axId val="157978160"/>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crossAx val="157979792"/>
        <c:crosses val="autoZero"/>
        <c:auto val="1"/>
        <c:lblAlgn val="ctr"/>
        <c:lblOffset val="100"/>
        <c:noMultiLvlLbl val="0"/>
      </c:catAx>
      <c:valAx>
        <c:axId val="157979792"/>
        <c:scaling>
          <c:orientation val="minMax"/>
        </c:scaling>
        <c:delete val="0"/>
        <c:axPos val="l"/>
        <c:majorGridlines>
          <c:spPr>
            <a:ln w="9525" cap="flat" cmpd="sng" algn="ctr">
              <a:solidFill>
                <a:schemeClr val="tx1">
                  <a:lumMod val="15000"/>
                  <a:lumOff val="85000"/>
                </a:schemeClr>
              </a:solidFill>
              <a:round/>
            </a:ln>
            <a:effectLst/>
          </c:spPr>
        </c:majorGridlines>
        <c:numFmt formatCode="&quot;$&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crossAx val="157978160"/>
        <c:crosses val="autoZero"/>
        <c:crossBetween val="between"/>
      </c:valAx>
      <c:spPr>
        <a:noFill/>
        <a:ln>
          <a:noFill/>
        </a:ln>
        <a:effectLst/>
      </c:spPr>
    </c:plotArea>
    <c:legend>
      <c:legendPos val="b"/>
      <c:layout>
        <c:manualLayout>
          <c:xMode val="edge"/>
          <c:yMode val="edge"/>
          <c:x val="0"/>
          <c:y val="0.86872287584881613"/>
          <c:w val="0.99442618081592826"/>
          <c:h val="0.13127713888476894"/>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solidFill>
      <a:round/>
    </a:ln>
    <a:effectLst/>
  </c:spPr>
  <c:txPr>
    <a:bodyPr/>
    <a:lstStyle/>
    <a:p>
      <a:pPr>
        <a:defRPr>
          <a:solidFill>
            <a:schemeClr val="tx1"/>
          </a:solidFill>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'2. Return on Investment Summary'!$C$69</c:f>
              <c:strCache>
                <c:ptCount val="1"/>
                <c:pt idx="0">
                  <c:v>Expenses</c:v>
                </c:pt>
              </c:strCache>
            </c:strRef>
          </c:tx>
          <c:spPr>
            <a:solidFill>
              <a:srgbClr val="FF0000"/>
            </a:solidFill>
            <a:ln>
              <a:solidFill>
                <a:srgbClr val="FF0000"/>
              </a:solidFill>
            </a:ln>
            <a:effectLst/>
          </c:spPr>
          <c:invertIfNegative val="0"/>
          <c:cat>
            <c:strRef>
              <c:f>'2. Return on Investment Summary'!$B$70:$B$79</c:f>
              <c:strCache>
                <c:ptCount val="10"/>
                <c:pt idx="0">
                  <c:v>Y1</c:v>
                </c:pt>
                <c:pt idx="1">
                  <c:v>Y2</c:v>
                </c:pt>
                <c:pt idx="2">
                  <c:v>Y3</c:v>
                </c:pt>
                <c:pt idx="3">
                  <c:v>Y4</c:v>
                </c:pt>
                <c:pt idx="4">
                  <c:v>Y5</c:v>
                </c:pt>
                <c:pt idx="5">
                  <c:v>Y6</c:v>
                </c:pt>
                <c:pt idx="6">
                  <c:v>Y7</c:v>
                </c:pt>
                <c:pt idx="7">
                  <c:v>Y8</c:v>
                </c:pt>
                <c:pt idx="8">
                  <c:v>Y9</c:v>
                </c:pt>
                <c:pt idx="9">
                  <c:v>Y10</c:v>
                </c:pt>
              </c:strCache>
            </c:strRef>
          </c:cat>
          <c:val>
            <c:numRef>
              <c:f>'2. Return on Investment Summary'!$C$70:$C$79</c:f>
              <c:numCache>
                <c:formatCode>_("$"* #,##0.00_);_("$"* \(#,##0.00\);_("$"* "-"??_);_(@_)</c:formatCode>
                <c:ptCount val="10"/>
                <c:pt idx="0">
                  <c:v>-27806.560000000001</c:v>
                </c:pt>
                <c:pt idx="1">
                  <c:v>-3800</c:v>
                </c:pt>
                <c:pt idx="2">
                  <c:v>-3900</c:v>
                </c:pt>
                <c:pt idx="3">
                  <c:v>-3720</c:v>
                </c:pt>
                <c:pt idx="4">
                  <c:v>-3720</c:v>
                </c:pt>
                <c:pt idx="5">
                  <c:v>-3720</c:v>
                </c:pt>
                <c:pt idx="6">
                  <c:v>-3720</c:v>
                </c:pt>
                <c:pt idx="7">
                  <c:v>-3720</c:v>
                </c:pt>
                <c:pt idx="8">
                  <c:v>-3720</c:v>
                </c:pt>
                <c:pt idx="9">
                  <c:v>-3720</c:v>
                </c:pt>
              </c:numCache>
            </c:numRef>
          </c:val>
          <c:extLst>
            <c:ext xmlns:c16="http://schemas.microsoft.com/office/drawing/2014/chart" uri="{C3380CC4-5D6E-409C-BE32-E72D297353CC}">
              <c16:uniqueId val="{00000000-1195-274B-B2EB-8E5D2FA80F51}"/>
            </c:ext>
          </c:extLst>
        </c:ser>
        <c:ser>
          <c:idx val="1"/>
          <c:order val="1"/>
          <c:tx>
            <c:strRef>
              <c:f>'2. Return on Investment Summary'!$E$69</c:f>
              <c:strCache>
                <c:ptCount val="1"/>
                <c:pt idx="0">
                  <c:v>Revenue</c:v>
                </c:pt>
              </c:strCache>
            </c:strRef>
          </c:tx>
          <c:spPr>
            <a:solidFill>
              <a:schemeClr val="bg1">
                <a:lumMod val="50000"/>
              </a:schemeClr>
            </a:solidFill>
            <a:ln>
              <a:solidFill>
                <a:schemeClr val="bg1">
                  <a:lumMod val="50000"/>
                </a:schemeClr>
              </a:solidFill>
            </a:ln>
            <a:effectLst/>
          </c:spPr>
          <c:invertIfNegative val="0"/>
          <c:cat>
            <c:strRef>
              <c:f>'2. Return on Investment Summary'!$B$70:$B$79</c:f>
              <c:strCache>
                <c:ptCount val="10"/>
                <c:pt idx="0">
                  <c:v>Y1</c:v>
                </c:pt>
                <c:pt idx="1">
                  <c:v>Y2</c:v>
                </c:pt>
                <c:pt idx="2">
                  <c:v>Y3</c:v>
                </c:pt>
                <c:pt idx="3">
                  <c:v>Y4</c:v>
                </c:pt>
                <c:pt idx="4">
                  <c:v>Y5</c:v>
                </c:pt>
                <c:pt idx="5">
                  <c:v>Y6</c:v>
                </c:pt>
                <c:pt idx="6">
                  <c:v>Y7</c:v>
                </c:pt>
                <c:pt idx="7">
                  <c:v>Y8</c:v>
                </c:pt>
                <c:pt idx="8">
                  <c:v>Y9</c:v>
                </c:pt>
                <c:pt idx="9">
                  <c:v>Y10</c:v>
                </c:pt>
              </c:strCache>
            </c:strRef>
          </c:cat>
          <c:val>
            <c:numRef>
              <c:f>'2. Return on Investment Summary'!$E$70:$E$79</c:f>
              <c:numCache>
                <c:formatCode>_("$"* #,##0.00_);_("$"* \(#,##0.00\);_("$"* "-"??_);_(@_)</c:formatCode>
                <c:ptCount val="10"/>
                <c:pt idx="0">
                  <c:v>0</c:v>
                </c:pt>
                <c:pt idx="1">
                  <c:v>9976.5</c:v>
                </c:pt>
                <c:pt idx="2">
                  <c:v>11639.25</c:v>
                </c:pt>
                <c:pt idx="3">
                  <c:v>14133.375000000002</c:v>
                </c:pt>
                <c:pt idx="4">
                  <c:v>14133.375000000002</c:v>
                </c:pt>
                <c:pt idx="5">
                  <c:v>14133.375000000002</c:v>
                </c:pt>
                <c:pt idx="6">
                  <c:v>14133.375000000002</c:v>
                </c:pt>
                <c:pt idx="7">
                  <c:v>14133.375000000002</c:v>
                </c:pt>
                <c:pt idx="8">
                  <c:v>14133.375000000002</c:v>
                </c:pt>
                <c:pt idx="9">
                  <c:v>14133.375000000002</c:v>
                </c:pt>
              </c:numCache>
            </c:numRef>
          </c:val>
          <c:extLst>
            <c:ext xmlns:c16="http://schemas.microsoft.com/office/drawing/2014/chart" uri="{C3380CC4-5D6E-409C-BE32-E72D297353CC}">
              <c16:uniqueId val="{00000000-A980-9C40-B69D-512A2DE7CCE7}"/>
            </c:ext>
          </c:extLst>
        </c:ser>
        <c:dLbls>
          <c:showLegendKey val="0"/>
          <c:showVal val="0"/>
          <c:showCatName val="0"/>
          <c:showSerName val="0"/>
          <c:showPercent val="0"/>
          <c:showBubbleSize val="0"/>
        </c:dLbls>
        <c:gapWidth val="100"/>
        <c:overlap val="100"/>
        <c:axId val="157978160"/>
        <c:axId val="157979792"/>
      </c:barChart>
      <c:lineChart>
        <c:grouping val="standard"/>
        <c:varyColors val="0"/>
        <c:ser>
          <c:idx val="2"/>
          <c:order val="2"/>
          <c:tx>
            <c:strRef>
              <c:f>'2. Return on Investment Summary'!$G$69</c:f>
              <c:strCache>
                <c:ptCount val="1"/>
                <c:pt idx="0">
                  <c:v>Cumulative
Profit</c:v>
                </c:pt>
              </c:strCache>
            </c:strRef>
          </c:tx>
          <c:spPr>
            <a:ln w="19050" cap="rnd">
              <a:solidFill>
                <a:schemeClr val="tx1"/>
              </a:solidFill>
              <a:round/>
            </a:ln>
            <a:effectLst/>
          </c:spPr>
          <c:marker>
            <c:symbol val="circle"/>
            <c:size val="4"/>
            <c:spPr>
              <a:solidFill>
                <a:schemeClr val="tx1"/>
              </a:solidFill>
              <a:ln w="9525">
                <a:solidFill>
                  <a:schemeClr val="tx1"/>
                </a:solidFill>
              </a:ln>
              <a:effectLst/>
            </c:spPr>
          </c:marker>
          <c:cat>
            <c:strRef>
              <c:f>'2. Return on Investment Summary'!$B$70:$B$79</c:f>
              <c:strCache>
                <c:ptCount val="10"/>
                <c:pt idx="0">
                  <c:v>Y1</c:v>
                </c:pt>
                <c:pt idx="1">
                  <c:v>Y2</c:v>
                </c:pt>
                <c:pt idx="2">
                  <c:v>Y3</c:v>
                </c:pt>
                <c:pt idx="3">
                  <c:v>Y4</c:v>
                </c:pt>
                <c:pt idx="4">
                  <c:v>Y5</c:v>
                </c:pt>
                <c:pt idx="5">
                  <c:v>Y6</c:v>
                </c:pt>
                <c:pt idx="6">
                  <c:v>Y7</c:v>
                </c:pt>
                <c:pt idx="7">
                  <c:v>Y8</c:v>
                </c:pt>
                <c:pt idx="8">
                  <c:v>Y9</c:v>
                </c:pt>
                <c:pt idx="9">
                  <c:v>Y10</c:v>
                </c:pt>
              </c:strCache>
            </c:strRef>
          </c:cat>
          <c:val>
            <c:numRef>
              <c:f>'2. Return on Investment Summary'!$G$70:$G$79</c:f>
              <c:numCache>
                <c:formatCode>_("$"* #,##0.00_);_("$"* \(#,##0.00\);_("$"* "-"??_);_(@_)</c:formatCode>
                <c:ptCount val="10"/>
                <c:pt idx="0">
                  <c:v>-27806.560000000001</c:v>
                </c:pt>
                <c:pt idx="1">
                  <c:v>-21630.06</c:v>
                </c:pt>
                <c:pt idx="2">
                  <c:v>-13890.810000000001</c:v>
                </c:pt>
                <c:pt idx="3">
                  <c:v>-3477.4349999999995</c:v>
                </c:pt>
                <c:pt idx="4">
                  <c:v>6935.9400000000023</c:v>
                </c:pt>
                <c:pt idx="5">
                  <c:v>17349.315000000002</c:v>
                </c:pt>
                <c:pt idx="6">
                  <c:v>27762.690000000002</c:v>
                </c:pt>
                <c:pt idx="7">
                  <c:v>38176.065000000002</c:v>
                </c:pt>
                <c:pt idx="8">
                  <c:v>48589.440000000002</c:v>
                </c:pt>
                <c:pt idx="9">
                  <c:v>59002.815000000002</c:v>
                </c:pt>
              </c:numCache>
            </c:numRef>
          </c:val>
          <c:smooth val="0"/>
          <c:extLst>
            <c:ext xmlns:c16="http://schemas.microsoft.com/office/drawing/2014/chart" uri="{C3380CC4-5D6E-409C-BE32-E72D297353CC}">
              <c16:uniqueId val="{00000001-A980-9C40-B69D-512A2DE7CCE7}"/>
            </c:ext>
          </c:extLst>
        </c:ser>
        <c:dLbls>
          <c:showLegendKey val="0"/>
          <c:showVal val="0"/>
          <c:showCatName val="0"/>
          <c:showSerName val="0"/>
          <c:showPercent val="0"/>
          <c:showBubbleSize val="0"/>
        </c:dLbls>
        <c:marker val="1"/>
        <c:smooth val="0"/>
        <c:axId val="157978160"/>
        <c:axId val="157979792"/>
      </c:lineChart>
      <c:catAx>
        <c:axId val="157978160"/>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crossAx val="157979792"/>
        <c:crosses val="autoZero"/>
        <c:auto val="1"/>
        <c:lblAlgn val="ctr"/>
        <c:lblOffset val="100"/>
        <c:noMultiLvlLbl val="0"/>
      </c:catAx>
      <c:valAx>
        <c:axId val="157979792"/>
        <c:scaling>
          <c:orientation val="minMax"/>
        </c:scaling>
        <c:delete val="0"/>
        <c:axPos val="l"/>
        <c:majorGridlines>
          <c:spPr>
            <a:ln w="9525" cap="flat" cmpd="sng" algn="ctr">
              <a:solidFill>
                <a:schemeClr val="tx1">
                  <a:lumMod val="15000"/>
                  <a:lumOff val="85000"/>
                </a:schemeClr>
              </a:solidFill>
              <a:round/>
            </a:ln>
            <a:effectLst/>
          </c:spPr>
        </c:majorGridlines>
        <c:numFmt formatCode="&quot;$&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crossAx val="157978160"/>
        <c:crosses val="autoZero"/>
        <c:crossBetween val="between"/>
      </c:valAx>
      <c:spPr>
        <a:noFill/>
        <a:ln>
          <a:noFill/>
        </a:ln>
        <a:effectLst/>
      </c:spPr>
    </c:plotArea>
    <c:legend>
      <c:legendPos val="b"/>
      <c:layout>
        <c:manualLayout>
          <c:xMode val="edge"/>
          <c:yMode val="edge"/>
          <c:x val="0"/>
          <c:y val="0.86872287584881613"/>
          <c:w val="0.99440090499435996"/>
          <c:h val="0.13127713888476894"/>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solidFill>
      <a:round/>
    </a:ln>
    <a:effectLst/>
  </c:spPr>
  <c:txPr>
    <a:bodyPr/>
    <a:lstStyle/>
    <a:p>
      <a:pPr>
        <a:defRPr>
          <a:solidFill>
            <a:schemeClr val="tx1"/>
          </a:solidFill>
        </a:defRPr>
      </a:pPr>
      <a:endParaRPr lang="en-US"/>
    </a:p>
  </c:txPr>
  <c:printSettings>
    <c:headerFooter>
      <c:oddHeader>&amp;R&amp;"Calibri (Body),Regular"&amp;K00-031RETURN ON INVESTMENT CALCULATOR
&amp;10PROFIT SUMMARY</c:oddHeader>
      <c:oddFooter>&amp;RPage &amp;P of &amp;N</c:oddFooter>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'2. Return on Investment Summary'!$C$84</c:f>
              <c:strCache>
                <c:ptCount val="1"/>
                <c:pt idx="0">
                  <c:v>Expenses</c:v>
                </c:pt>
              </c:strCache>
            </c:strRef>
          </c:tx>
          <c:spPr>
            <a:solidFill>
              <a:srgbClr val="FF0000"/>
            </a:solidFill>
            <a:ln>
              <a:solidFill>
                <a:srgbClr val="FF0000"/>
              </a:solidFill>
            </a:ln>
            <a:effectLst/>
          </c:spPr>
          <c:invertIfNegative val="0"/>
          <c:cat>
            <c:strRef>
              <c:f>'2. Return on Investment Summary'!$B$85:$B$94</c:f>
              <c:strCache>
                <c:ptCount val="10"/>
                <c:pt idx="0">
                  <c:v>Y1</c:v>
                </c:pt>
                <c:pt idx="1">
                  <c:v>Y2</c:v>
                </c:pt>
                <c:pt idx="2">
                  <c:v>Y3</c:v>
                </c:pt>
                <c:pt idx="3">
                  <c:v>Y4</c:v>
                </c:pt>
                <c:pt idx="4">
                  <c:v>Y5</c:v>
                </c:pt>
                <c:pt idx="5">
                  <c:v>Y6</c:v>
                </c:pt>
                <c:pt idx="6">
                  <c:v>Y7</c:v>
                </c:pt>
                <c:pt idx="7">
                  <c:v>Y8</c:v>
                </c:pt>
                <c:pt idx="8">
                  <c:v>Y9</c:v>
                </c:pt>
                <c:pt idx="9">
                  <c:v>Y10</c:v>
                </c:pt>
              </c:strCache>
            </c:strRef>
          </c:cat>
          <c:val>
            <c:numRef>
              <c:f>'2. Return on Investment Summary'!$C$85:$C$94</c:f>
              <c:numCache>
                <c:formatCode>_("$"* #,##0.00_);_("$"* \(#,##0.00\);_("$"* "-"??_);_(@_)</c:formatCode>
                <c:ptCount val="10"/>
                <c:pt idx="0">
                  <c:v>-28857.03</c:v>
                </c:pt>
                <c:pt idx="1">
                  <c:v>-3800</c:v>
                </c:pt>
                <c:pt idx="2">
                  <c:v>-3900</c:v>
                </c:pt>
                <c:pt idx="3">
                  <c:v>-3720</c:v>
                </c:pt>
                <c:pt idx="4">
                  <c:v>-3720</c:v>
                </c:pt>
                <c:pt idx="5">
                  <c:v>-3720</c:v>
                </c:pt>
                <c:pt idx="6">
                  <c:v>-3720</c:v>
                </c:pt>
                <c:pt idx="7">
                  <c:v>-3720</c:v>
                </c:pt>
                <c:pt idx="8">
                  <c:v>-3720</c:v>
                </c:pt>
                <c:pt idx="9">
                  <c:v>-3720</c:v>
                </c:pt>
              </c:numCache>
            </c:numRef>
          </c:val>
          <c:extLst>
            <c:ext xmlns:c16="http://schemas.microsoft.com/office/drawing/2014/chart" uri="{C3380CC4-5D6E-409C-BE32-E72D297353CC}">
              <c16:uniqueId val="{00000000-699C-AB4E-A93C-FC89CE18A092}"/>
            </c:ext>
          </c:extLst>
        </c:ser>
        <c:ser>
          <c:idx val="1"/>
          <c:order val="1"/>
          <c:tx>
            <c:strRef>
              <c:f>'2. Return on Investment Summary'!$E$84</c:f>
              <c:strCache>
                <c:ptCount val="1"/>
                <c:pt idx="0">
                  <c:v>Revenue</c:v>
                </c:pt>
              </c:strCache>
            </c:strRef>
          </c:tx>
          <c:spPr>
            <a:solidFill>
              <a:schemeClr val="bg1">
                <a:lumMod val="50000"/>
              </a:schemeClr>
            </a:solidFill>
            <a:ln>
              <a:solidFill>
                <a:schemeClr val="bg1">
                  <a:lumMod val="50000"/>
                </a:schemeClr>
              </a:solidFill>
            </a:ln>
            <a:effectLst/>
          </c:spPr>
          <c:invertIfNegative val="0"/>
          <c:cat>
            <c:strRef>
              <c:f>'2. Return on Investment Summary'!$B$85:$B$94</c:f>
              <c:strCache>
                <c:ptCount val="10"/>
                <c:pt idx="0">
                  <c:v>Y1</c:v>
                </c:pt>
                <c:pt idx="1">
                  <c:v>Y2</c:v>
                </c:pt>
                <c:pt idx="2">
                  <c:v>Y3</c:v>
                </c:pt>
                <c:pt idx="3">
                  <c:v>Y4</c:v>
                </c:pt>
                <c:pt idx="4">
                  <c:v>Y5</c:v>
                </c:pt>
                <c:pt idx="5">
                  <c:v>Y6</c:v>
                </c:pt>
                <c:pt idx="6">
                  <c:v>Y7</c:v>
                </c:pt>
                <c:pt idx="7">
                  <c:v>Y8</c:v>
                </c:pt>
                <c:pt idx="8">
                  <c:v>Y9</c:v>
                </c:pt>
                <c:pt idx="9">
                  <c:v>Y10</c:v>
                </c:pt>
              </c:strCache>
            </c:strRef>
          </c:cat>
          <c:val>
            <c:numRef>
              <c:f>'2. Return on Investment Summary'!$E$85:$E$94</c:f>
              <c:numCache>
                <c:formatCode>_("$"* #,##0.00_);_("$"* \(#,##0.00\);_("$"* "-"??_);_(@_)</c:formatCode>
                <c:ptCount val="10"/>
                <c:pt idx="0">
                  <c:v>0</c:v>
                </c:pt>
                <c:pt idx="1">
                  <c:v>4988.25</c:v>
                </c:pt>
                <c:pt idx="2">
                  <c:v>6651.0000000000009</c:v>
                </c:pt>
                <c:pt idx="3">
                  <c:v>9976.5</c:v>
                </c:pt>
                <c:pt idx="4">
                  <c:v>9976.5</c:v>
                </c:pt>
                <c:pt idx="5">
                  <c:v>9976.5</c:v>
                </c:pt>
                <c:pt idx="6">
                  <c:v>9976.5</c:v>
                </c:pt>
                <c:pt idx="7">
                  <c:v>9976.5</c:v>
                </c:pt>
                <c:pt idx="8">
                  <c:v>9976.5</c:v>
                </c:pt>
                <c:pt idx="9">
                  <c:v>9976.5</c:v>
                </c:pt>
              </c:numCache>
            </c:numRef>
          </c:val>
          <c:extLst>
            <c:ext xmlns:c16="http://schemas.microsoft.com/office/drawing/2014/chart" uri="{C3380CC4-5D6E-409C-BE32-E72D297353CC}">
              <c16:uniqueId val="{00000005-699C-AB4E-A93C-FC89CE18A092}"/>
            </c:ext>
          </c:extLst>
        </c:ser>
        <c:dLbls>
          <c:showLegendKey val="0"/>
          <c:showVal val="0"/>
          <c:showCatName val="0"/>
          <c:showSerName val="0"/>
          <c:showPercent val="0"/>
          <c:showBubbleSize val="0"/>
        </c:dLbls>
        <c:gapWidth val="100"/>
        <c:overlap val="100"/>
        <c:axId val="157978160"/>
        <c:axId val="157979792"/>
      </c:barChart>
      <c:lineChart>
        <c:grouping val="standard"/>
        <c:varyColors val="0"/>
        <c:ser>
          <c:idx val="2"/>
          <c:order val="2"/>
          <c:tx>
            <c:strRef>
              <c:f>'2. Return on Investment Summary'!$G$84</c:f>
              <c:strCache>
                <c:ptCount val="1"/>
                <c:pt idx="0">
                  <c:v>Cumulative
Profit</c:v>
                </c:pt>
              </c:strCache>
            </c:strRef>
          </c:tx>
          <c:spPr>
            <a:ln w="19050" cap="rnd">
              <a:solidFill>
                <a:schemeClr val="tx1"/>
              </a:solidFill>
              <a:round/>
            </a:ln>
            <a:effectLst/>
          </c:spPr>
          <c:marker>
            <c:symbol val="circle"/>
            <c:size val="4"/>
            <c:spPr>
              <a:solidFill>
                <a:schemeClr val="tx1"/>
              </a:solidFill>
              <a:ln w="9525">
                <a:solidFill>
                  <a:schemeClr val="tx1"/>
                </a:solidFill>
              </a:ln>
              <a:effectLst/>
            </c:spPr>
          </c:marker>
          <c:cat>
            <c:strRef>
              <c:f>'2. Return on Investment Summary'!$B$85:$B$94</c:f>
              <c:strCache>
                <c:ptCount val="10"/>
                <c:pt idx="0">
                  <c:v>Y1</c:v>
                </c:pt>
                <c:pt idx="1">
                  <c:v>Y2</c:v>
                </c:pt>
                <c:pt idx="2">
                  <c:v>Y3</c:v>
                </c:pt>
                <c:pt idx="3">
                  <c:v>Y4</c:v>
                </c:pt>
                <c:pt idx="4">
                  <c:v>Y5</c:v>
                </c:pt>
                <c:pt idx="5">
                  <c:v>Y6</c:v>
                </c:pt>
                <c:pt idx="6">
                  <c:v>Y7</c:v>
                </c:pt>
                <c:pt idx="7">
                  <c:v>Y8</c:v>
                </c:pt>
                <c:pt idx="8">
                  <c:v>Y9</c:v>
                </c:pt>
                <c:pt idx="9">
                  <c:v>Y10</c:v>
                </c:pt>
              </c:strCache>
            </c:strRef>
          </c:cat>
          <c:val>
            <c:numRef>
              <c:f>'2. Return on Investment Summary'!$G$85:$G$94</c:f>
              <c:numCache>
                <c:formatCode>_("$"* #,##0.00_);_("$"* \(#,##0.00\);_("$"* "-"??_);_(@_)</c:formatCode>
                <c:ptCount val="10"/>
                <c:pt idx="0">
                  <c:v>-28857.03</c:v>
                </c:pt>
                <c:pt idx="1">
                  <c:v>-27668.78</c:v>
                </c:pt>
                <c:pt idx="2">
                  <c:v>-24917.78</c:v>
                </c:pt>
                <c:pt idx="3">
                  <c:v>-18661.28</c:v>
                </c:pt>
                <c:pt idx="4">
                  <c:v>-12404.779999999999</c:v>
                </c:pt>
                <c:pt idx="5">
                  <c:v>-6148.2799999999988</c:v>
                </c:pt>
                <c:pt idx="6">
                  <c:v>108.22000000000116</c:v>
                </c:pt>
                <c:pt idx="7">
                  <c:v>6364.7200000000012</c:v>
                </c:pt>
                <c:pt idx="8">
                  <c:v>12621.220000000001</c:v>
                </c:pt>
                <c:pt idx="9">
                  <c:v>18877.72</c:v>
                </c:pt>
              </c:numCache>
            </c:numRef>
          </c:val>
          <c:smooth val="0"/>
          <c:extLst>
            <c:ext xmlns:c16="http://schemas.microsoft.com/office/drawing/2014/chart" uri="{C3380CC4-5D6E-409C-BE32-E72D297353CC}">
              <c16:uniqueId val="{00000006-699C-AB4E-A93C-FC89CE18A092}"/>
            </c:ext>
          </c:extLst>
        </c:ser>
        <c:dLbls>
          <c:showLegendKey val="0"/>
          <c:showVal val="0"/>
          <c:showCatName val="0"/>
          <c:showSerName val="0"/>
          <c:showPercent val="0"/>
          <c:showBubbleSize val="0"/>
        </c:dLbls>
        <c:marker val="1"/>
        <c:smooth val="0"/>
        <c:axId val="157978160"/>
        <c:axId val="157979792"/>
      </c:lineChart>
      <c:catAx>
        <c:axId val="157978160"/>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crossAx val="157979792"/>
        <c:crosses val="autoZero"/>
        <c:auto val="1"/>
        <c:lblAlgn val="ctr"/>
        <c:lblOffset val="100"/>
        <c:noMultiLvlLbl val="0"/>
      </c:catAx>
      <c:valAx>
        <c:axId val="157979792"/>
        <c:scaling>
          <c:orientation val="minMax"/>
        </c:scaling>
        <c:delete val="0"/>
        <c:axPos val="l"/>
        <c:majorGridlines>
          <c:spPr>
            <a:ln w="9525" cap="flat" cmpd="sng" algn="ctr">
              <a:solidFill>
                <a:schemeClr val="tx1">
                  <a:lumMod val="15000"/>
                  <a:lumOff val="85000"/>
                </a:schemeClr>
              </a:solidFill>
              <a:round/>
            </a:ln>
            <a:effectLst/>
          </c:spPr>
        </c:majorGridlines>
        <c:numFmt formatCode="&quot;$&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crossAx val="157978160"/>
        <c:crosses val="autoZero"/>
        <c:crossBetween val="between"/>
      </c:valAx>
      <c:spPr>
        <a:noFill/>
        <a:ln>
          <a:noFill/>
        </a:ln>
        <a:effectLst/>
      </c:spPr>
    </c:plotArea>
    <c:legend>
      <c:legendPos val="b"/>
      <c:layout>
        <c:manualLayout>
          <c:xMode val="edge"/>
          <c:yMode val="edge"/>
          <c:x val="0"/>
          <c:y val="0.86872287584881613"/>
          <c:w val="0.99532816928554524"/>
          <c:h val="0.13127713888476894"/>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solidFill>
      <a:round/>
    </a:ln>
    <a:effectLst/>
  </c:spPr>
  <c:txPr>
    <a:bodyPr/>
    <a:lstStyle/>
    <a:p>
      <a:pPr>
        <a:defRPr>
          <a:solidFill>
            <a:schemeClr val="tx1"/>
          </a:solidFill>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'2. Return on Investment Summary'!$C$99</c:f>
              <c:strCache>
                <c:ptCount val="1"/>
                <c:pt idx="0">
                  <c:v>Expenses</c:v>
                </c:pt>
              </c:strCache>
            </c:strRef>
          </c:tx>
          <c:spPr>
            <a:solidFill>
              <a:srgbClr val="FF0000"/>
            </a:solidFill>
            <a:ln>
              <a:solidFill>
                <a:srgbClr val="FF0000"/>
              </a:solidFill>
            </a:ln>
            <a:effectLst/>
          </c:spPr>
          <c:invertIfNegative val="0"/>
          <c:cat>
            <c:strRef>
              <c:f>'2. Return on Investment Summary'!$B$100:$B$109</c:f>
              <c:strCache>
                <c:ptCount val="10"/>
                <c:pt idx="0">
                  <c:v>Y1</c:v>
                </c:pt>
                <c:pt idx="1">
                  <c:v>Y2</c:v>
                </c:pt>
                <c:pt idx="2">
                  <c:v>Y3</c:v>
                </c:pt>
                <c:pt idx="3">
                  <c:v>Y4</c:v>
                </c:pt>
                <c:pt idx="4">
                  <c:v>Y5</c:v>
                </c:pt>
                <c:pt idx="5">
                  <c:v>Y6</c:v>
                </c:pt>
                <c:pt idx="6">
                  <c:v>Y7</c:v>
                </c:pt>
                <c:pt idx="7">
                  <c:v>Y8</c:v>
                </c:pt>
                <c:pt idx="8">
                  <c:v>Y9</c:v>
                </c:pt>
                <c:pt idx="9">
                  <c:v>Y10</c:v>
                </c:pt>
              </c:strCache>
            </c:strRef>
          </c:cat>
          <c:val>
            <c:numRef>
              <c:f>'2. Return on Investment Summary'!$C$100:$C$109</c:f>
              <c:numCache>
                <c:formatCode>_("$"* #,##0.00_);_("$"* \(#,##0.00\);_("$"* "-"??_);_(@_)</c:formatCode>
                <c:ptCount val="10"/>
                <c:pt idx="0">
                  <c:v>-16648.75</c:v>
                </c:pt>
                <c:pt idx="1">
                  <c:v>-3800</c:v>
                </c:pt>
                <c:pt idx="2">
                  <c:v>-3900</c:v>
                </c:pt>
                <c:pt idx="3">
                  <c:v>-3720</c:v>
                </c:pt>
                <c:pt idx="4">
                  <c:v>-3720</c:v>
                </c:pt>
                <c:pt idx="5">
                  <c:v>-3720</c:v>
                </c:pt>
                <c:pt idx="6">
                  <c:v>-3720</c:v>
                </c:pt>
                <c:pt idx="7">
                  <c:v>-3720</c:v>
                </c:pt>
                <c:pt idx="8">
                  <c:v>-3720</c:v>
                </c:pt>
                <c:pt idx="9">
                  <c:v>-3720</c:v>
                </c:pt>
              </c:numCache>
            </c:numRef>
          </c:val>
          <c:extLst>
            <c:ext xmlns:c16="http://schemas.microsoft.com/office/drawing/2014/chart" uri="{C3380CC4-5D6E-409C-BE32-E72D297353CC}">
              <c16:uniqueId val="{00000000-9BBF-0D46-8BAD-F5230D1A024A}"/>
            </c:ext>
          </c:extLst>
        </c:ser>
        <c:ser>
          <c:idx val="1"/>
          <c:order val="1"/>
          <c:tx>
            <c:strRef>
              <c:f>'2. Return on Investment Summary'!$E$99</c:f>
              <c:strCache>
                <c:ptCount val="1"/>
                <c:pt idx="0">
                  <c:v>Revenue</c:v>
                </c:pt>
              </c:strCache>
            </c:strRef>
          </c:tx>
          <c:spPr>
            <a:solidFill>
              <a:schemeClr val="bg1">
                <a:lumMod val="50000"/>
              </a:schemeClr>
            </a:solidFill>
            <a:ln>
              <a:solidFill>
                <a:schemeClr val="bg1">
                  <a:lumMod val="50000"/>
                </a:schemeClr>
              </a:solidFill>
            </a:ln>
            <a:effectLst/>
          </c:spPr>
          <c:invertIfNegative val="0"/>
          <c:cat>
            <c:strRef>
              <c:f>'2. Return on Investment Summary'!$B$100:$B$109</c:f>
              <c:strCache>
                <c:ptCount val="10"/>
                <c:pt idx="0">
                  <c:v>Y1</c:v>
                </c:pt>
                <c:pt idx="1">
                  <c:v>Y2</c:v>
                </c:pt>
                <c:pt idx="2">
                  <c:v>Y3</c:v>
                </c:pt>
                <c:pt idx="3">
                  <c:v>Y4</c:v>
                </c:pt>
                <c:pt idx="4">
                  <c:v>Y5</c:v>
                </c:pt>
                <c:pt idx="5">
                  <c:v>Y6</c:v>
                </c:pt>
                <c:pt idx="6">
                  <c:v>Y7</c:v>
                </c:pt>
                <c:pt idx="7">
                  <c:v>Y8</c:v>
                </c:pt>
                <c:pt idx="8">
                  <c:v>Y9</c:v>
                </c:pt>
                <c:pt idx="9">
                  <c:v>Y10</c:v>
                </c:pt>
              </c:strCache>
            </c:strRef>
          </c:cat>
          <c:val>
            <c:numRef>
              <c:f>'2. Return on Investment Summary'!$E$100:$E$109</c:f>
              <c:numCache>
                <c:formatCode>_("$"* #,##0.00_);_("$"* \(#,##0.00\);_("$"* "-"??_);_(@_)</c:formatCode>
                <c:ptCount val="10"/>
                <c:pt idx="0">
                  <c:v>0</c:v>
                </c:pt>
                <c:pt idx="1">
                  <c:v>3325.5000000000005</c:v>
                </c:pt>
                <c:pt idx="2">
                  <c:v>4988.25</c:v>
                </c:pt>
                <c:pt idx="3">
                  <c:v>6651.0000000000009</c:v>
                </c:pt>
                <c:pt idx="4">
                  <c:v>6651.0000000000009</c:v>
                </c:pt>
                <c:pt idx="5">
                  <c:v>6651.0000000000009</c:v>
                </c:pt>
                <c:pt idx="6">
                  <c:v>6651.0000000000009</c:v>
                </c:pt>
                <c:pt idx="7">
                  <c:v>6651.0000000000009</c:v>
                </c:pt>
                <c:pt idx="8">
                  <c:v>6651.0000000000009</c:v>
                </c:pt>
                <c:pt idx="9">
                  <c:v>6651.0000000000009</c:v>
                </c:pt>
              </c:numCache>
            </c:numRef>
          </c:val>
          <c:extLst>
            <c:ext xmlns:c16="http://schemas.microsoft.com/office/drawing/2014/chart" uri="{C3380CC4-5D6E-409C-BE32-E72D297353CC}">
              <c16:uniqueId val="{00000005-9BBF-0D46-8BAD-F5230D1A024A}"/>
            </c:ext>
          </c:extLst>
        </c:ser>
        <c:dLbls>
          <c:showLegendKey val="0"/>
          <c:showVal val="0"/>
          <c:showCatName val="0"/>
          <c:showSerName val="0"/>
          <c:showPercent val="0"/>
          <c:showBubbleSize val="0"/>
        </c:dLbls>
        <c:gapWidth val="100"/>
        <c:overlap val="100"/>
        <c:axId val="157978160"/>
        <c:axId val="157979792"/>
      </c:barChart>
      <c:lineChart>
        <c:grouping val="standard"/>
        <c:varyColors val="0"/>
        <c:ser>
          <c:idx val="2"/>
          <c:order val="2"/>
          <c:tx>
            <c:strRef>
              <c:f>'2. Return on Investment Summary'!$G$99</c:f>
              <c:strCache>
                <c:ptCount val="1"/>
                <c:pt idx="0">
                  <c:v>Cumulative
Profit</c:v>
                </c:pt>
              </c:strCache>
            </c:strRef>
          </c:tx>
          <c:spPr>
            <a:ln w="19050" cap="rnd">
              <a:solidFill>
                <a:schemeClr val="tx1"/>
              </a:solidFill>
              <a:round/>
            </a:ln>
            <a:effectLst/>
          </c:spPr>
          <c:marker>
            <c:symbol val="circle"/>
            <c:size val="5"/>
            <c:spPr>
              <a:solidFill>
                <a:schemeClr val="tx1"/>
              </a:solidFill>
              <a:ln w="9525">
                <a:solidFill>
                  <a:schemeClr val="tx1"/>
                </a:solidFill>
              </a:ln>
              <a:effectLst/>
            </c:spPr>
          </c:marker>
          <c:cat>
            <c:strRef>
              <c:f>'2. Return on Investment Summary'!$B$100:$B$109</c:f>
              <c:strCache>
                <c:ptCount val="10"/>
                <c:pt idx="0">
                  <c:v>Y1</c:v>
                </c:pt>
                <c:pt idx="1">
                  <c:v>Y2</c:v>
                </c:pt>
                <c:pt idx="2">
                  <c:v>Y3</c:v>
                </c:pt>
                <c:pt idx="3">
                  <c:v>Y4</c:v>
                </c:pt>
                <c:pt idx="4">
                  <c:v>Y5</c:v>
                </c:pt>
                <c:pt idx="5">
                  <c:v>Y6</c:v>
                </c:pt>
                <c:pt idx="6">
                  <c:v>Y7</c:v>
                </c:pt>
                <c:pt idx="7">
                  <c:v>Y8</c:v>
                </c:pt>
                <c:pt idx="8">
                  <c:v>Y9</c:v>
                </c:pt>
                <c:pt idx="9">
                  <c:v>Y10</c:v>
                </c:pt>
              </c:strCache>
            </c:strRef>
          </c:cat>
          <c:val>
            <c:numRef>
              <c:f>'2. Return on Investment Summary'!$G$100:$G$109</c:f>
              <c:numCache>
                <c:formatCode>_("$"* #,##0.00_);_("$"* \(#,##0.00\);_("$"* "-"??_);_(@_)</c:formatCode>
                <c:ptCount val="10"/>
                <c:pt idx="0">
                  <c:v>-16648.75</c:v>
                </c:pt>
                <c:pt idx="1">
                  <c:v>-17123.25</c:v>
                </c:pt>
                <c:pt idx="2">
                  <c:v>-16035</c:v>
                </c:pt>
                <c:pt idx="3">
                  <c:v>-13104</c:v>
                </c:pt>
                <c:pt idx="4">
                  <c:v>-10173</c:v>
                </c:pt>
                <c:pt idx="5">
                  <c:v>-7241.9999999999991</c:v>
                </c:pt>
                <c:pt idx="6">
                  <c:v>-4310.9999999999982</c:v>
                </c:pt>
                <c:pt idx="7">
                  <c:v>-1379.9999999999973</c:v>
                </c:pt>
                <c:pt idx="8">
                  <c:v>1551.0000000000036</c:v>
                </c:pt>
                <c:pt idx="9">
                  <c:v>4482.0000000000045</c:v>
                </c:pt>
              </c:numCache>
            </c:numRef>
          </c:val>
          <c:smooth val="0"/>
          <c:extLst>
            <c:ext xmlns:c16="http://schemas.microsoft.com/office/drawing/2014/chart" uri="{C3380CC4-5D6E-409C-BE32-E72D297353CC}">
              <c16:uniqueId val="{00000006-9BBF-0D46-8BAD-F5230D1A024A}"/>
            </c:ext>
          </c:extLst>
        </c:ser>
        <c:dLbls>
          <c:showLegendKey val="0"/>
          <c:showVal val="0"/>
          <c:showCatName val="0"/>
          <c:showSerName val="0"/>
          <c:showPercent val="0"/>
          <c:showBubbleSize val="0"/>
        </c:dLbls>
        <c:marker val="1"/>
        <c:smooth val="0"/>
        <c:axId val="157978160"/>
        <c:axId val="157979792"/>
      </c:lineChart>
      <c:catAx>
        <c:axId val="157978160"/>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crossAx val="157979792"/>
        <c:crosses val="autoZero"/>
        <c:auto val="1"/>
        <c:lblAlgn val="ctr"/>
        <c:lblOffset val="100"/>
        <c:noMultiLvlLbl val="0"/>
      </c:catAx>
      <c:valAx>
        <c:axId val="157979792"/>
        <c:scaling>
          <c:orientation val="minMax"/>
        </c:scaling>
        <c:delete val="0"/>
        <c:axPos val="l"/>
        <c:majorGridlines>
          <c:spPr>
            <a:ln w="9525" cap="flat" cmpd="sng" algn="ctr">
              <a:solidFill>
                <a:schemeClr val="tx1">
                  <a:lumMod val="15000"/>
                  <a:lumOff val="85000"/>
                </a:schemeClr>
              </a:solidFill>
              <a:round/>
            </a:ln>
            <a:effectLst/>
          </c:spPr>
        </c:majorGridlines>
        <c:numFmt formatCode="&quot;$&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crossAx val="157978160"/>
        <c:crosses val="autoZero"/>
        <c:crossBetween val="between"/>
      </c:valAx>
      <c:spPr>
        <a:noFill/>
        <a:ln>
          <a:noFill/>
        </a:ln>
        <a:effectLst/>
      </c:spPr>
    </c:plotArea>
    <c:legend>
      <c:legendPos val="b"/>
      <c:layout>
        <c:manualLayout>
          <c:xMode val="edge"/>
          <c:yMode val="edge"/>
          <c:x val="0"/>
          <c:y val="0.86872287584881613"/>
          <c:w val="1"/>
          <c:h val="0.13127708611848235"/>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solidFill>
      <a:round/>
    </a:ln>
    <a:effectLst/>
  </c:spPr>
  <c:txPr>
    <a:bodyPr/>
    <a:lstStyle/>
    <a:p>
      <a:pPr>
        <a:defRPr>
          <a:solidFill>
            <a:schemeClr val="tx1"/>
          </a:solidFill>
        </a:defRPr>
      </a:pPr>
      <a:endParaRPr lang="en-US"/>
    </a:p>
  </c:txPr>
  <c:printSettings>
    <c:headerFooter>
      <c:oddFooter>&amp;RPage &amp;P of &amp;N</c:oddFooter>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7</xdr:col>
      <xdr:colOff>39511</xdr:colOff>
      <xdr:row>64</xdr:row>
      <xdr:rowOff>62089</xdr:rowOff>
    </xdr:from>
    <xdr:to>
      <xdr:col>7</xdr:col>
      <xdr:colOff>197556</xdr:colOff>
      <xdr:row>64</xdr:row>
      <xdr:rowOff>183444</xdr:rowOff>
    </xdr:to>
    <xdr:sp macro="" textlink="">
      <xdr:nvSpPr>
        <xdr:cNvPr id="4" name="Left Arrow 3">
          <a:extLst>
            <a:ext uri="{FF2B5EF4-FFF2-40B4-BE49-F238E27FC236}">
              <a16:creationId xmlns:a16="http://schemas.microsoft.com/office/drawing/2014/main" id="{27A37E66-065B-0D42-B3F5-113D4173ACF4}"/>
            </a:ext>
          </a:extLst>
        </xdr:cNvPr>
        <xdr:cNvSpPr/>
      </xdr:nvSpPr>
      <xdr:spPr>
        <a:xfrm>
          <a:off x="6067126" y="14618243"/>
          <a:ext cx="158045" cy="121355"/>
        </a:xfrm>
        <a:prstGeom prst="leftArrow">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7</xdr:col>
      <xdr:colOff>39511</xdr:colOff>
      <xdr:row>81</xdr:row>
      <xdr:rowOff>62089</xdr:rowOff>
    </xdr:from>
    <xdr:to>
      <xdr:col>7</xdr:col>
      <xdr:colOff>197556</xdr:colOff>
      <xdr:row>81</xdr:row>
      <xdr:rowOff>183444</xdr:rowOff>
    </xdr:to>
    <xdr:sp macro="" textlink="">
      <xdr:nvSpPr>
        <xdr:cNvPr id="23" name="Left Arrow 22">
          <a:extLst>
            <a:ext uri="{FF2B5EF4-FFF2-40B4-BE49-F238E27FC236}">
              <a16:creationId xmlns:a16="http://schemas.microsoft.com/office/drawing/2014/main" id="{21B7845B-C8C7-D446-A1B4-4773E1F63048}"/>
            </a:ext>
          </a:extLst>
        </xdr:cNvPr>
        <xdr:cNvSpPr/>
      </xdr:nvSpPr>
      <xdr:spPr>
        <a:xfrm>
          <a:off x="6067126" y="14618243"/>
          <a:ext cx="158045" cy="121355"/>
        </a:xfrm>
        <a:prstGeom prst="leftArrow">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1273737</xdr:colOff>
      <xdr:row>95</xdr:row>
      <xdr:rowOff>17371</xdr:rowOff>
    </xdr:from>
    <xdr:to>
      <xdr:col>7</xdr:col>
      <xdr:colOff>152838</xdr:colOff>
      <xdr:row>95</xdr:row>
      <xdr:rowOff>138726</xdr:rowOff>
    </xdr:to>
    <xdr:sp macro="" textlink="">
      <xdr:nvSpPr>
        <xdr:cNvPr id="24" name="Left Arrow 23">
          <a:extLst>
            <a:ext uri="{FF2B5EF4-FFF2-40B4-BE49-F238E27FC236}">
              <a16:creationId xmlns:a16="http://schemas.microsoft.com/office/drawing/2014/main" id="{2B32C4D8-108B-E842-8748-5A1FD183BBD7}"/>
            </a:ext>
          </a:extLst>
        </xdr:cNvPr>
        <xdr:cNvSpPr/>
      </xdr:nvSpPr>
      <xdr:spPr>
        <a:xfrm>
          <a:off x="5665075" y="20221103"/>
          <a:ext cx="158045" cy="121355"/>
        </a:xfrm>
        <a:prstGeom prst="leftArrow">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7</xdr:col>
      <xdr:colOff>39511</xdr:colOff>
      <xdr:row>109</xdr:row>
      <xdr:rowOff>62089</xdr:rowOff>
    </xdr:from>
    <xdr:to>
      <xdr:col>7</xdr:col>
      <xdr:colOff>197556</xdr:colOff>
      <xdr:row>109</xdr:row>
      <xdr:rowOff>183444</xdr:rowOff>
    </xdr:to>
    <xdr:sp macro="" textlink="">
      <xdr:nvSpPr>
        <xdr:cNvPr id="25" name="Left Arrow 24">
          <a:extLst>
            <a:ext uri="{FF2B5EF4-FFF2-40B4-BE49-F238E27FC236}">
              <a16:creationId xmlns:a16="http://schemas.microsoft.com/office/drawing/2014/main" id="{6642C3D2-1E54-714E-BF43-7A7FEE4C69B7}"/>
            </a:ext>
          </a:extLst>
        </xdr:cNvPr>
        <xdr:cNvSpPr/>
      </xdr:nvSpPr>
      <xdr:spPr>
        <a:xfrm>
          <a:off x="6067126" y="18506397"/>
          <a:ext cx="158045" cy="121355"/>
        </a:xfrm>
        <a:prstGeom prst="leftArrow">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147205</xdr:colOff>
      <xdr:row>7</xdr:row>
      <xdr:rowOff>13231</xdr:rowOff>
    </xdr:from>
    <xdr:to>
      <xdr:col>12</xdr:col>
      <xdr:colOff>796859</xdr:colOff>
      <xdr:row>19</xdr:row>
      <xdr:rowOff>11546</xdr:rowOff>
    </xdr:to>
    <xdr:graphicFrame macro="">
      <xdr:nvGraphicFramePr>
        <xdr:cNvPr id="2" name="Chart 1">
          <a:extLst>
            <a:ext uri="{FF2B5EF4-FFF2-40B4-BE49-F238E27FC236}">
              <a16:creationId xmlns:a16="http://schemas.microsoft.com/office/drawing/2014/main" id="{2BACF320-81E1-CA46-8648-35800719AE3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147205</xdr:colOff>
      <xdr:row>24</xdr:row>
      <xdr:rowOff>9769</xdr:rowOff>
    </xdr:from>
    <xdr:to>
      <xdr:col>12</xdr:col>
      <xdr:colOff>796859</xdr:colOff>
      <xdr:row>36</xdr:row>
      <xdr:rowOff>0</xdr:rowOff>
    </xdr:to>
    <xdr:graphicFrame macro="">
      <xdr:nvGraphicFramePr>
        <xdr:cNvPr id="3" name="Chart 2">
          <a:extLst>
            <a:ext uri="{FF2B5EF4-FFF2-40B4-BE49-F238E27FC236}">
              <a16:creationId xmlns:a16="http://schemas.microsoft.com/office/drawing/2014/main" id="{76FE7DA2-1A02-4840-BFC6-113488A72F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147205</xdr:colOff>
      <xdr:row>38</xdr:row>
      <xdr:rowOff>9770</xdr:rowOff>
    </xdr:from>
    <xdr:to>
      <xdr:col>12</xdr:col>
      <xdr:colOff>796859</xdr:colOff>
      <xdr:row>50</xdr:row>
      <xdr:rowOff>1</xdr:rowOff>
    </xdr:to>
    <xdr:graphicFrame macro="">
      <xdr:nvGraphicFramePr>
        <xdr:cNvPr id="4" name="Chart 3">
          <a:extLst>
            <a:ext uri="{FF2B5EF4-FFF2-40B4-BE49-F238E27FC236}">
              <a16:creationId xmlns:a16="http://schemas.microsoft.com/office/drawing/2014/main" id="{6A02A0A4-8E9E-0F4F-8721-3D80969C732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147205</xdr:colOff>
      <xdr:row>53</xdr:row>
      <xdr:rowOff>10583</xdr:rowOff>
    </xdr:from>
    <xdr:to>
      <xdr:col>12</xdr:col>
      <xdr:colOff>796859</xdr:colOff>
      <xdr:row>65</xdr:row>
      <xdr:rowOff>813</xdr:rowOff>
    </xdr:to>
    <xdr:graphicFrame macro="">
      <xdr:nvGraphicFramePr>
        <xdr:cNvPr id="5" name="Chart 4">
          <a:extLst>
            <a:ext uri="{FF2B5EF4-FFF2-40B4-BE49-F238E27FC236}">
              <a16:creationId xmlns:a16="http://schemas.microsoft.com/office/drawing/2014/main" id="{5D8F4907-9F00-D040-8E41-2F791DA6CFD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7</xdr:col>
      <xdr:colOff>147205</xdr:colOff>
      <xdr:row>68</xdr:row>
      <xdr:rowOff>9622</xdr:rowOff>
    </xdr:from>
    <xdr:to>
      <xdr:col>12</xdr:col>
      <xdr:colOff>796859</xdr:colOff>
      <xdr:row>79</xdr:row>
      <xdr:rowOff>196125</xdr:rowOff>
    </xdr:to>
    <xdr:graphicFrame macro="">
      <xdr:nvGraphicFramePr>
        <xdr:cNvPr id="7" name="Chart 6">
          <a:extLst>
            <a:ext uri="{FF2B5EF4-FFF2-40B4-BE49-F238E27FC236}">
              <a16:creationId xmlns:a16="http://schemas.microsoft.com/office/drawing/2014/main" id="{8E0B3F03-0B73-A442-8E87-5A2C467A84D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147205</xdr:colOff>
      <xdr:row>83</xdr:row>
      <xdr:rowOff>10583</xdr:rowOff>
    </xdr:from>
    <xdr:to>
      <xdr:col>12</xdr:col>
      <xdr:colOff>796859</xdr:colOff>
      <xdr:row>95</xdr:row>
      <xdr:rowOff>814</xdr:rowOff>
    </xdr:to>
    <xdr:graphicFrame macro="">
      <xdr:nvGraphicFramePr>
        <xdr:cNvPr id="8" name="Chart 7">
          <a:extLst>
            <a:ext uri="{FF2B5EF4-FFF2-40B4-BE49-F238E27FC236}">
              <a16:creationId xmlns:a16="http://schemas.microsoft.com/office/drawing/2014/main" id="{C1688B81-380D-934B-AD6E-1119D30717E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147205</xdr:colOff>
      <xdr:row>98</xdr:row>
      <xdr:rowOff>10583</xdr:rowOff>
    </xdr:from>
    <xdr:to>
      <xdr:col>12</xdr:col>
      <xdr:colOff>796859</xdr:colOff>
      <xdr:row>110</xdr:row>
      <xdr:rowOff>814</xdr:rowOff>
    </xdr:to>
    <xdr:graphicFrame macro="">
      <xdr:nvGraphicFramePr>
        <xdr:cNvPr id="9" name="Chart 8">
          <a:extLst>
            <a:ext uri="{FF2B5EF4-FFF2-40B4-BE49-F238E27FC236}">
              <a16:creationId xmlns:a16="http://schemas.microsoft.com/office/drawing/2014/main" id="{12EB6562-38AE-4049-AD87-713FF1413E9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agproducts.rutgers.edu/cranberries/varieties.html" TargetMode="External"/><Relationship Id="rId2" Type="http://schemas.openxmlformats.org/officeDocument/2006/relationships/hyperlink" Target="http://www.cranberryvine.com/cranberry-varieties" TargetMode="External"/><Relationship Id="rId1" Type="http://schemas.openxmlformats.org/officeDocument/2006/relationships/hyperlink" Target="mailto:pattenk.wsu@gmail.com"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https://www.bankofcanada.ca/rates/exchange/daily-exchange-rates/"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www.cranberryvine.com/cranberry-varieties" TargetMode="External"/><Relationship Id="rId1" Type="http://schemas.openxmlformats.org/officeDocument/2006/relationships/hyperlink" Target="http://agproducts.rutgers.edu/cranberries/varieties.html"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s://www.fcc-fac.ca/en/resources/calculators.html"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4A8C57-CDBB-1042-A9B4-4DD47ABD9B5E}">
  <dimension ref="B1:I47"/>
  <sheetViews>
    <sheetView showGridLines="0" view="pageLayout" zoomScaleNormal="100" workbookViewId="0">
      <selection activeCell="B1" sqref="B1"/>
    </sheetView>
  </sheetViews>
  <sheetFormatPr defaultColWidth="11.453125" defaultRowHeight="14.5"/>
  <cols>
    <col min="1" max="1" width="1" customWidth="1"/>
    <col min="2" max="2" width="16.7265625" customWidth="1"/>
    <col min="4" max="4" width="15.7265625" customWidth="1"/>
    <col min="5" max="6" width="11.7265625" customWidth="1"/>
    <col min="7" max="8" width="8.26953125" customWidth="1"/>
  </cols>
  <sheetData>
    <row r="1" spans="2:8" s="4" customFormat="1" ht="18" customHeight="1">
      <c r="B1" s="17" t="s">
        <v>259</v>
      </c>
      <c r="D1" s="5"/>
      <c r="E1" s="5"/>
      <c r="F1" s="5"/>
    </row>
    <row r="2" spans="2:8" s="4" customFormat="1" ht="16" customHeight="1">
      <c r="B2" s="6"/>
      <c r="D2" s="5"/>
      <c r="E2" s="5"/>
      <c r="F2" s="5"/>
    </row>
    <row r="3" spans="2:8" s="176" customFormat="1" ht="15.5">
      <c r="B3" s="3" t="s">
        <v>180</v>
      </c>
      <c r="C3" s="176" t="s">
        <v>182</v>
      </c>
    </row>
    <row r="4" spans="2:8" s="176" customFormat="1" ht="15.5">
      <c r="B4" s="3" t="s">
        <v>130</v>
      </c>
      <c r="C4" s="177" t="s">
        <v>179</v>
      </c>
    </row>
    <row r="5" spans="2:8" s="176" customFormat="1" ht="15.5">
      <c r="B5" s="3" t="s">
        <v>181</v>
      </c>
      <c r="C5" s="211" t="s">
        <v>257</v>
      </c>
    </row>
    <row r="6" spans="2:8" s="176" customFormat="1" ht="15.5">
      <c r="B6" s="3" t="s">
        <v>131</v>
      </c>
      <c r="C6" s="176" t="s">
        <v>132</v>
      </c>
    </row>
    <row r="7" spans="2:8" s="176" customFormat="1" ht="15" customHeight="1"/>
    <row r="8" spans="2:8" s="176" customFormat="1" ht="15" customHeight="1"/>
    <row r="9" spans="2:8" s="176" customFormat="1" ht="15.5">
      <c r="B9" s="107" t="s">
        <v>128</v>
      </c>
      <c r="C9" s="178"/>
      <c r="D9" s="178"/>
      <c r="E9" s="178"/>
      <c r="F9" s="178"/>
      <c r="G9" s="178"/>
      <c r="H9" s="179"/>
    </row>
    <row r="10" spans="2:8" s="176" customFormat="1" ht="81" customHeight="1">
      <c r="B10" s="225" t="s">
        <v>129</v>
      </c>
      <c r="C10" s="226"/>
      <c r="D10" s="226"/>
      <c r="E10" s="226"/>
      <c r="F10" s="226"/>
      <c r="G10" s="226"/>
      <c r="H10" s="227"/>
    </row>
    <row r="11" spans="2:8" s="176" customFormat="1" ht="10" customHeight="1">
      <c r="B11" s="180"/>
      <c r="C11" s="181"/>
      <c r="D11" s="181"/>
      <c r="E11" s="181"/>
      <c r="F11" s="181"/>
      <c r="G11" s="181"/>
      <c r="H11" s="182"/>
    </row>
    <row r="12" spans="2:8" s="176" customFormat="1" ht="15" customHeight="1"/>
    <row r="13" spans="2:8" s="176" customFormat="1" ht="15.5">
      <c r="B13" s="107" t="s">
        <v>109</v>
      </c>
      <c r="C13" s="178"/>
      <c r="D13" s="178"/>
      <c r="E13" s="178"/>
      <c r="F13" s="178"/>
      <c r="G13" s="178"/>
      <c r="H13" s="179"/>
    </row>
    <row r="14" spans="2:8" s="176" customFormat="1" ht="46" customHeight="1">
      <c r="B14" s="225" t="s">
        <v>152</v>
      </c>
      <c r="C14" s="226"/>
      <c r="D14" s="226"/>
      <c r="E14" s="226"/>
      <c r="F14" s="226"/>
      <c r="G14" s="226"/>
      <c r="H14" s="227"/>
    </row>
    <row r="15" spans="2:8" s="176" customFormat="1" ht="10" customHeight="1">
      <c r="B15" s="175"/>
      <c r="C15" s="183"/>
      <c r="D15" s="183"/>
      <c r="E15" s="183"/>
      <c r="F15" s="183"/>
      <c r="G15" s="183"/>
      <c r="H15" s="184"/>
    </row>
    <row r="16" spans="2:8" s="176" customFormat="1" ht="58" customHeight="1">
      <c r="B16" s="225" t="s">
        <v>203</v>
      </c>
      <c r="C16" s="226"/>
      <c r="D16" s="226"/>
      <c r="E16" s="226"/>
      <c r="F16" s="226"/>
      <c r="G16" s="226"/>
      <c r="H16" s="227"/>
    </row>
    <row r="17" spans="2:9" s="176" customFormat="1" ht="10" customHeight="1">
      <c r="B17" s="175"/>
      <c r="C17" s="183"/>
      <c r="D17" s="183"/>
      <c r="E17" s="183"/>
      <c r="F17" s="183"/>
      <c r="G17" s="183"/>
      <c r="H17" s="184"/>
    </row>
    <row r="18" spans="2:9" s="176" customFormat="1" ht="31" customHeight="1">
      <c r="B18" s="228" t="s">
        <v>153</v>
      </c>
      <c r="C18" s="226"/>
      <c r="D18" s="226"/>
      <c r="E18" s="226"/>
      <c r="F18" s="226"/>
      <c r="G18" s="226"/>
      <c r="H18" s="227"/>
    </row>
    <row r="19" spans="2:9" s="176" customFormat="1" ht="10" customHeight="1">
      <c r="B19" s="175"/>
      <c r="C19" s="183"/>
      <c r="D19" s="183"/>
      <c r="E19" s="183"/>
      <c r="F19" s="183"/>
      <c r="G19" s="183"/>
      <c r="H19" s="184"/>
    </row>
    <row r="20" spans="2:9" s="176" customFormat="1" ht="31" customHeight="1">
      <c r="B20" s="228" t="s">
        <v>254</v>
      </c>
      <c r="C20" s="226"/>
      <c r="D20" s="226"/>
      <c r="E20" s="226"/>
      <c r="F20" s="226"/>
      <c r="G20" s="226"/>
      <c r="H20" s="227"/>
    </row>
    <row r="21" spans="2:9" s="176" customFormat="1" ht="10" customHeight="1">
      <c r="B21" s="175"/>
      <c r="C21" s="183"/>
      <c r="D21" s="183"/>
      <c r="E21" s="183"/>
      <c r="F21" s="183"/>
      <c r="G21" s="183"/>
      <c r="H21" s="184"/>
    </row>
    <row r="22" spans="2:9" s="176" customFormat="1" ht="31" customHeight="1">
      <c r="B22" s="228" t="s">
        <v>253</v>
      </c>
      <c r="C22" s="226"/>
      <c r="D22" s="226"/>
      <c r="E22" s="226"/>
      <c r="F22" s="226"/>
      <c r="G22" s="226"/>
      <c r="H22" s="227"/>
    </row>
    <row r="23" spans="2:9" s="176" customFormat="1" ht="10" customHeight="1">
      <c r="B23" s="175"/>
      <c r="C23" s="183"/>
      <c r="D23" s="183"/>
      <c r="E23" s="183"/>
      <c r="F23" s="183"/>
      <c r="G23" s="183"/>
      <c r="H23" s="184"/>
    </row>
    <row r="24" spans="2:9" s="176" customFormat="1" ht="31" customHeight="1">
      <c r="B24" s="225" t="s">
        <v>154</v>
      </c>
      <c r="C24" s="226"/>
      <c r="D24" s="226"/>
      <c r="E24" s="226"/>
      <c r="F24" s="226"/>
      <c r="G24" s="226"/>
      <c r="H24" s="227"/>
    </row>
    <row r="25" spans="2:9" s="176" customFormat="1" ht="10" customHeight="1">
      <c r="B25" s="175"/>
      <c r="C25" s="183"/>
      <c r="D25" s="183"/>
      <c r="E25" s="183"/>
      <c r="F25" s="183"/>
      <c r="G25" s="183"/>
      <c r="H25" s="184"/>
    </row>
    <row r="26" spans="2:9" s="176" customFormat="1" ht="15.5">
      <c r="B26" s="175" t="s">
        <v>240</v>
      </c>
      <c r="C26" s="183"/>
      <c r="D26" s="183"/>
      <c r="E26" s="183"/>
      <c r="F26" s="183"/>
      <c r="G26" s="183"/>
      <c r="H26" s="184"/>
    </row>
    <row r="27" spans="2:9" s="176" customFormat="1" ht="10" customHeight="1">
      <c r="B27" s="180"/>
      <c r="C27" s="181"/>
      <c r="D27" s="181"/>
      <c r="E27" s="181"/>
      <c r="F27" s="181"/>
      <c r="G27" s="181"/>
      <c r="H27" s="182"/>
    </row>
    <row r="28" spans="2:9" s="176" customFormat="1" ht="15" customHeight="1"/>
    <row r="29" spans="2:9" s="176" customFormat="1" ht="15.5">
      <c r="B29" s="107" t="s">
        <v>134</v>
      </c>
      <c r="C29" s="178"/>
      <c r="D29" s="178"/>
      <c r="E29" s="178"/>
      <c r="F29" s="178"/>
      <c r="G29" s="178"/>
      <c r="H29" s="179"/>
    </row>
    <row r="30" spans="2:9" s="176" customFormat="1" ht="31" customHeight="1">
      <c r="B30" s="225" t="s">
        <v>239</v>
      </c>
      <c r="C30" s="226"/>
      <c r="D30" s="226"/>
      <c r="E30" s="226"/>
      <c r="F30" s="226"/>
      <c r="G30" s="226"/>
      <c r="H30" s="227"/>
    </row>
    <row r="31" spans="2:9" s="176" customFormat="1" ht="15.5">
      <c r="B31" s="185" t="s">
        <v>113</v>
      </c>
      <c r="C31" s="183"/>
      <c r="D31" s="229" t="s">
        <v>92</v>
      </c>
      <c r="E31" s="229"/>
      <c r="F31" s="229"/>
      <c r="G31" s="229"/>
      <c r="H31" s="186"/>
      <c r="I31" s="187"/>
    </row>
    <row r="32" spans="2:9" s="176" customFormat="1" ht="15.5">
      <c r="B32" s="185" t="s">
        <v>90</v>
      </c>
      <c r="C32" s="183"/>
      <c r="D32" s="229" t="s">
        <v>93</v>
      </c>
      <c r="E32" s="229"/>
      <c r="F32" s="229"/>
      <c r="G32" s="229"/>
      <c r="H32" s="230"/>
      <c r="I32" s="187"/>
    </row>
    <row r="33" spans="2:8" s="176" customFormat="1" ht="10" customHeight="1">
      <c r="B33" s="180"/>
      <c r="C33" s="181"/>
      <c r="D33" s="181"/>
      <c r="E33" s="181"/>
      <c r="F33" s="181"/>
      <c r="G33" s="181"/>
      <c r="H33" s="182"/>
    </row>
    <row r="34" spans="2:8" s="176" customFormat="1" ht="15" customHeight="1"/>
    <row r="35" spans="2:8" s="176" customFormat="1" ht="15.5">
      <c r="B35" s="107" t="s">
        <v>137</v>
      </c>
      <c r="C35" s="178"/>
      <c r="D35" s="178"/>
      <c r="E35" s="178"/>
      <c r="F35" s="178"/>
      <c r="G35" s="178"/>
      <c r="H35" s="179"/>
    </row>
    <row r="36" spans="2:8" s="176" customFormat="1" ht="46" customHeight="1">
      <c r="B36" s="225" t="s">
        <v>155</v>
      </c>
      <c r="C36" s="226"/>
      <c r="D36" s="226"/>
      <c r="E36" s="226"/>
      <c r="F36" s="226"/>
      <c r="G36" s="226"/>
      <c r="H36" s="227"/>
    </row>
    <row r="37" spans="2:8" s="176" customFormat="1" ht="10" customHeight="1">
      <c r="B37" s="180"/>
      <c r="C37" s="181"/>
      <c r="D37" s="181"/>
      <c r="E37" s="181"/>
      <c r="F37" s="181"/>
      <c r="G37" s="181"/>
      <c r="H37" s="182"/>
    </row>
    <row r="38" spans="2:8" s="176" customFormat="1" ht="15" customHeight="1"/>
    <row r="39" spans="2:8" s="176" customFormat="1" ht="15.5">
      <c r="B39" s="107" t="s">
        <v>237</v>
      </c>
      <c r="C39" s="178"/>
      <c r="D39" s="178"/>
      <c r="E39" s="178"/>
      <c r="F39" s="178"/>
      <c r="G39" s="178"/>
      <c r="H39" s="179"/>
    </row>
    <row r="40" spans="2:8" s="176" customFormat="1" ht="32.15" customHeight="1">
      <c r="B40" s="222" t="s">
        <v>238</v>
      </c>
      <c r="C40" s="223"/>
      <c r="D40" s="223"/>
      <c r="E40" s="223"/>
      <c r="F40" s="223"/>
      <c r="G40" s="223"/>
      <c r="H40" s="224"/>
    </row>
    <row r="41" spans="2:8" s="176" customFormat="1" ht="10" customHeight="1">
      <c r="B41" s="180"/>
      <c r="C41" s="181"/>
      <c r="D41" s="181"/>
      <c r="E41" s="181"/>
      <c r="F41" s="181"/>
      <c r="G41" s="181"/>
      <c r="H41" s="182"/>
    </row>
    <row r="42" spans="2:8" s="176" customFormat="1" ht="15" customHeight="1"/>
    <row r="43" spans="2:8" s="176" customFormat="1" ht="15.5">
      <c r="B43" s="107" t="s">
        <v>260</v>
      </c>
      <c r="C43" s="178"/>
      <c r="D43" s="178"/>
      <c r="E43" s="178"/>
      <c r="F43" s="178"/>
      <c r="G43" s="178"/>
      <c r="H43" s="179"/>
    </row>
    <row r="44" spans="2:8" s="176" customFormat="1" ht="16" customHeight="1">
      <c r="B44" s="213" t="s">
        <v>261</v>
      </c>
      <c r="C44" s="215" t="s">
        <v>262</v>
      </c>
      <c r="D44" s="215"/>
      <c r="E44" s="215" t="s">
        <v>263</v>
      </c>
      <c r="F44" s="215"/>
      <c r="G44" s="217" t="s">
        <v>264</v>
      </c>
      <c r="H44" s="217"/>
    </row>
    <row r="45" spans="2:8" s="176" customFormat="1" ht="17.149999999999999" customHeight="1">
      <c r="B45" s="214">
        <v>1</v>
      </c>
      <c r="C45" s="220" t="s">
        <v>265</v>
      </c>
      <c r="D45" s="221"/>
      <c r="E45" s="220" t="s">
        <v>266</v>
      </c>
      <c r="F45" s="221"/>
      <c r="G45" s="218">
        <v>43843</v>
      </c>
      <c r="H45" s="218"/>
    </row>
    <row r="46" spans="2:8" s="176" customFormat="1" ht="16" customHeight="1">
      <c r="B46" s="212"/>
      <c r="C46" s="219"/>
      <c r="D46" s="219"/>
      <c r="E46" s="219"/>
      <c r="F46" s="219"/>
      <c r="G46" s="216"/>
      <c r="H46" s="216"/>
    </row>
    <row r="47" spans="2:8" s="176" customFormat="1" ht="16" customHeight="1">
      <c r="B47" s="212"/>
      <c r="C47" s="219"/>
      <c r="D47" s="219"/>
      <c r="E47" s="219"/>
      <c r="F47" s="219"/>
      <c r="G47" s="216"/>
      <c r="H47" s="216"/>
    </row>
  </sheetData>
  <sheetProtection algorithmName="SHA-512" hashValue="IkOFtkLQedELK0F8NqJpZ1QJRyAsqd9x6yySkzKqWVqB7LKh4KsTIn0w7XuGZMm/APU7rvXJqHUaEA25Xe5iNg==" saltValue="ew7HFLJOwsPNv7WxTKMKng==" spinCount="100000" sheet="1" scenarios="1" selectLockedCells="1" selectUnlockedCells="1"/>
  <mergeCells count="24">
    <mergeCell ref="B40:H40"/>
    <mergeCell ref="B10:H10"/>
    <mergeCell ref="B14:H14"/>
    <mergeCell ref="B16:H16"/>
    <mergeCell ref="B18:H18"/>
    <mergeCell ref="B20:H20"/>
    <mergeCell ref="B36:H36"/>
    <mergeCell ref="D32:H32"/>
    <mergeCell ref="D31:G31"/>
    <mergeCell ref="B24:H24"/>
    <mergeCell ref="B30:H30"/>
    <mergeCell ref="B22:H22"/>
    <mergeCell ref="C44:D44"/>
    <mergeCell ref="E44:F44"/>
    <mergeCell ref="G47:H47"/>
    <mergeCell ref="G44:H44"/>
    <mergeCell ref="G45:H45"/>
    <mergeCell ref="G46:H46"/>
    <mergeCell ref="E47:F47"/>
    <mergeCell ref="E46:F46"/>
    <mergeCell ref="E45:F45"/>
    <mergeCell ref="C45:D45"/>
    <mergeCell ref="C46:D46"/>
    <mergeCell ref="C47:D47"/>
  </mergeCells>
  <hyperlinks>
    <hyperlink ref="C4" r:id="rId1" xr:uid="{01FD514E-CFB3-4845-9C3A-009CEF3EF225}"/>
    <hyperlink ref="D31" r:id="rId2" xr:uid="{B6AF7918-AB26-6A44-892B-072A5879BDDB}"/>
    <hyperlink ref="D32" r:id="rId3" xr:uid="{BCD08D68-01CC-3745-803E-14C29C2A307F}"/>
  </hyperlinks>
  <pageMargins left="0.7" right="0.7" top="0.75" bottom="0.75" header="0.3" footer="0.3"/>
  <pageSetup scale="98" orientation="portrait" verticalDpi="0" r:id="rId4"/>
  <headerFooter>
    <oddHeader xml:space="preserve">&amp;C&amp;"System Font,Regular"&amp;10&amp;K000000 </oddHeader>
  </headerFooter>
  <rowBreaks count="1" manualBreakCount="1">
    <brk id="33"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4A047A-A840-C24F-A594-645B25CF1F42}">
  <dimension ref="A1:J124"/>
  <sheetViews>
    <sheetView showGridLines="0" view="pageLayout" topLeftCell="A81" zoomScale="71" zoomScaleNormal="80" zoomScalePageLayoutView="71" workbookViewId="0">
      <selection activeCell="E96" sqref="E96"/>
    </sheetView>
  </sheetViews>
  <sheetFormatPr defaultColWidth="10.81640625" defaultRowHeight="15.5"/>
  <cols>
    <col min="1" max="1" width="1" style="50" customWidth="1"/>
    <col min="2" max="2" width="8.7265625" style="51" customWidth="1"/>
    <col min="3" max="3" width="33.7265625" style="51" customWidth="1"/>
    <col min="4" max="5" width="17.81640625" style="52" customWidth="1"/>
    <col min="6" max="6" width="15.26953125" style="52" hidden="1" customWidth="1"/>
    <col min="7" max="7" width="32.7265625" style="51" hidden="1" customWidth="1"/>
    <col min="8" max="8" width="2.7265625" style="51" customWidth="1"/>
    <col min="9" max="9" width="9.81640625" style="51" customWidth="1"/>
    <col min="10" max="10" width="33.7265625" style="51" customWidth="1"/>
    <col min="11" max="12" width="10.81640625" style="51"/>
    <col min="13" max="13" width="32.26953125" style="51" bestFit="1" customWidth="1"/>
    <col min="14" max="14" width="10.1796875" style="51" customWidth="1"/>
    <col min="15" max="15" width="22.453125" style="51" bestFit="1" customWidth="1"/>
    <col min="16" max="17" width="10.81640625" style="51"/>
    <col min="18" max="18" width="32.26953125" style="51" bestFit="1" customWidth="1"/>
    <col min="19" max="16384" width="10.81640625" style="51"/>
  </cols>
  <sheetData>
    <row r="1" spans="1:8" ht="18" customHeight="1">
      <c r="A1" s="51"/>
      <c r="B1" s="17" t="s">
        <v>259</v>
      </c>
    </row>
    <row r="2" spans="1:8" ht="16" customHeight="1">
      <c r="A2" s="51"/>
      <c r="B2" s="57" t="s">
        <v>48</v>
      </c>
    </row>
    <row r="3" spans="1:8" ht="16" thickBot="1"/>
    <row r="4" spans="1:8" ht="16.5" thickTop="1" thickBot="1">
      <c r="B4" s="53" t="s">
        <v>35</v>
      </c>
      <c r="C4" s="231"/>
      <c r="D4" s="232"/>
    </row>
    <row r="5" spans="1:8" ht="16.5" thickTop="1" thickBot="1">
      <c r="B5" s="53" t="s">
        <v>36</v>
      </c>
      <c r="C5" s="231"/>
      <c r="D5" s="232"/>
    </row>
    <row r="6" spans="1:8" ht="16.5" thickTop="1" thickBot="1">
      <c r="B6" s="53" t="s">
        <v>73</v>
      </c>
      <c r="C6" s="231"/>
      <c r="D6" s="232"/>
    </row>
    <row r="7" spans="1:8" ht="16" thickTop="1">
      <c r="B7" s="53"/>
      <c r="C7" s="95"/>
      <c r="D7" s="96"/>
    </row>
    <row r="9" spans="1:8" ht="21">
      <c r="B9" s="55" t="s">
        <v>105</v>
      </c>
      <c r="E9" s="56"/>
      <c r="F9" s="56"/>
      <c r="G9" s="53"/>
      <c r="H9" s="53"/>
    </row>
    <row r="10" spans="1:8" ht="6" customHeight="1">
      <c r="B10" s="53"/>
      <c r="C10" s="54"/>
      <c r="D10" s="54"/>
    </row>
    <row r="11" spans="1:8">
      <c r="B11" s="53" t="s">
        <v>53</v>
      </c>
    </row>
    <row r="12" spans="1:8" ht="16" thickBot="1">
      <c r="B12" s="237" t="s">
        <v>2</v>
      </c>
      <c r="C12" s="238"/>
      <c r="D12" s="72" t="s">
        <v>40</v>
      </c>
      <c r="E12" s="90" t="s">
        <v>41</v>
      </c>
      <c r="F12" s="58" t="s">
        <v>34</v>
      </c>
    </row>
    <row r="13" spans="1:8" ht="16.5" thickTop="1" thickBot="1">
      <c r="B13" s="239" t="s">
        <v>51</v>
      </c>
      <c r="C13" s="235"/>
      <c r="D13" s="94">
        <v>110</v>
      </c>
      <c r="E13" s="49"/>
      <c r="F13" s="74">
        <f>IF(OR(ISBLANK(E13), ISNUMBER(E13)=FALSE),D13,E13)</f>
        <v>110</v>
      </c>
    </row>
    <row r="14" spans="1:8" ht="16.5" thickTop="1" thickBot="1">
      <c r="B14" s="239" t="s">
        <v>52</v>
      </c>
      <c r="C14" s="240"/>
      <c r="D14" s="94">
        <v>15</v>
      </c>
      <c r="E14" s="49"/>
      <c r="F14" s="74">
        <f>IF(OR(ISBLANK(E14), ISNUMBER(E14)=FALSE),D14,E14)</f>
        <v>15</v>
      </c>
    </row>
    <row r="15" spans="1:8" ht="16" thickTop="1">
      <c r="B15" s="85"/>
      <c r="C15" s="85"/>
      <c r="D15" s="89"/>
    </row>
    <row r="16" spans="1:8">
      <c r="B16" s="53" t="s">
        <v>84</v>
      </c>
    </row>
    <row r="17" spans="2:9" ht="16" thickBot="1">
      <c r="B17" s="237" t="s">
        <v>95</v>
      </c>
      <c r="C17" s="238"/>
      <c r="D17" s="72" t="s">
        <v>87</v>
      </c>
      <c r="E17" s="72" t="s">
        <v>88</v>
      </c>
      <c r="F17" s="58" t="s">
        <v>34</v>
      </c>
    </row>
    <row r="18" spans="2:9" ht="16.5" thickTop="1" thickBot="1">
      <c r="B18" s="233" t="s">
        <v>94</v>
      </c>
      <c r="C18" s="235"/>
      <c r="D18" s="93">
        <v>1.3302</v>
      </c>
      <c r="E18" s="159"/>
      <c r="F18" s="92">
        <f>IF(OR(ISBLANK(E18), ISNUMBER(E18)=FALSE),D18,E18)</f>
        <v>1.3302</v>
      </c>
    </row>
    <row r="19" spans="2:9" ht="16" thickTop="1">
      <c r="B19" s="241" t="s">
        <v>108</v>
      </c>
      <c r="C19" s="241"/>
      <c r="D19" s="241"/>
      <c r="E19" s="241"/>
      <c r="F19" s="241"/>
    </row>
    <row r="20" spans="2:9">
      <c r="B20" s="84"/>
      <c r="C20" s="85"/>
      <c r="D20" s="86"/>
      <c r="E20" s="86"/>
      <c r="F20" s="87"/>
    </row>
    <row r="21" spans="2:9">
      <c r="B21" s="88" t="s">
        <v>29</v>
      </c>
      <c r="C21" s="85"/>
      <c r="D21" s="89"/>
    </row>
    <row r="22" spans="2:9" ht="34" customHeight="1" thickBot="1">
      <c r="B22" s="237" t="s">
        <v>2</v>
      </c>
      <c r="C22" s="238"/>
      <c r="D22" s="72" t="s">
        <v>110</v>
      </c>
      <c r="E22" s="90" t="s">
        <v>111</v>
      </c>
      <c r="F22" s="58" t="s">
        <v>34</v>
      </c>
      <c r="G22" s="91" t="s">
        <v>26</v>
      </c>
      <c r="H22" s="248" t="s">
        <v>114</v>
      </c>
      <c r="I22" s="248"/>
    </row>
    <row r="23" spans="2:9" ht="16.5" thickTop="1" thickBot="1">
      <c r="B23" s="233" t="s">
        <v>30</v>
      </c>
      <c r="C23" s="235"/>
      <c r="D23" s="60">
        <v>25</v>
      </c>
      <c r="E23" s="159"/>
      <c r="F23" s="61">
        <f>IF(OR(ISBLANK(E23), ISNUMBER(E23)=FALSE),D23,E23)*F18</f>
        <v>33.255000000000003</v>
      </c>
      <c r="G23" s="62"/>
      <c r="H23" s="249">
        <f>F23</f>
        <v>33.255000000000003</v>
      </c>
      <c r="I23" s="249"/>
    </row>
    <row r="24" spans="2:9" ht="16" thickTop="1"/>
    <row r="25" spans="2:9" ht="6" customHeight="1">
      <c r="B25" s="53"/>
      <c r="C25" s="54"/>
      <c r="D25" s="54"/>
    </row>
    <row r="26" spans="2:9" ht="21">
      <c r="B26" s="55" t="s">
        <v>23</v>
      </c>
      <c r="E26" s="56"/>
      <c r="F26" s="56"/>
      <c r="G26" s="53"/>
      <c r="H26" s="53"/>
    </row>
    <row r="27" spans="2:9" ht="6" customHeight="1">
      <c r="B27" s="53"/>
      <c r="C27" s="54"/>
      <c r="D27" s="54"/>
    </row>
    <row r="28" spans="2:9" ht="15.75" customHeight="1">
      <c r="B28" s="57" t="s">
        <v>75</v>
      </c>
    </row>
    <row r="29" spans="2:9">
      <c r="B29" s="53" t="s">
        <v>42</v>
      </c>
      <c r="C29" s="53"/>
    </row>
    <row r="30" spans="2:9" ht="31.5" thickBot="1">
      <c r="B30" s="237" t="s">
        <v>2</v>
      </c>
      <c r="C30" s="238"/>
      <c r="D30" s="58" t="s">
        <v>24</v>
      </c>
      <c r="E30" s="59" t="s">
        <v>25</v>
      </c>
      <c r="F30" s="58" t="s">
        <v>34</v>
      </c>
      <c r="G30" s="91" t="s">
        <v>26</v>
      </c>
    </row>
    <row r="31" spans="2:9" ht="16.5" thickTop="1" thickBot="1">
      <c r="B31" s="236" t="s">
        <v>0</v>
      </c>
      <c r="C31" s="235"/>
      <c r="D31" s="60">
        <v>200</v>
      </c>
      <c r="E31" s="159">
        <v>400</v>
      </c>
      <c r="F31" s="61">
        <f>IF(OR(ISBLANK(E31), ISNUMBER(E31)=FALSE),D31,E31)</f>
        <v>400</v>
      </c>
      <c r="G31" s="62"/>
    </row>
    <row r="32" spans="2:9" ht="16.5" thickTop="1" thickBot="1">
      <c r="B32" s="236" t="s">
        <v>7</v>
      </c>
      <c r="C32" s="235"/>
      <c r="D32" s="60">
        <v>400</v>
      </c>
      <c r="E32" s="160"/>
      <c r="F32" s="61">
        <f t="shared" ref="F32:F47" si="0">IF(OR(ISBLANK(E32), ISNUMBER(E32)=FALSE),D32,E32)</f>
        <v>400</v>
      </c>
      <c r="G32" s="62"/>
    </row>
    <row r="33" spans="2:7" ht="16.5" thickTop="1" thickBot="1">
      <c r="B33" s="236" t="s">
        <v>8</v>
      </c>
      <c r="C33" s="235"/>
      <c r="D33" s="60">
        <v>400</v>
      </c>
      <c r="E33" s="159"/>
      <c r="F33" s="61">
        <f t="shared" si="0"/>
        <v>400</v>
      </c>
      <c r="G33" s="62"/>
    </row>
    <row r="34" spans="2:7" ht="16.5" thickTop="1" thickBot="1">
      <c r="B34" s="236" t="s">
        <v>9</v>
      </c>
      <c r="C34" s="235"/>
      <c r="D34" s="60">
        <v>100</v>
      </c>
      <c r="E34" s="159"/>
      <c r="F34" s="61">
        <f t="shared" si="0"/>
        <v>100</v>
      </c>
      <c r="G34" s="62"/>
    </row>
    <row r="35" spans="2:7" ht="16.5" thickTop="1" thickBot="1">
      <c r="B35" s="236" t="s">
        <v>32</v>
      </c>
      <c r="C35" s="235"/>
      <c r="D35" s="60">
        <v>500</v>
      </c>
      <c r="E35" s="159"/>
      <c r="F35" s="61">
        <f t="shared" si="0"/>
        <v>500</v>
      </c>
      <c r="G35" s="62"/>
    </row>
    <row r="36" spans="2:7" ht="16.5" thickTop="1" thickBot="1">
      <c r="B36" s="236" t="s">
        <v>33</v>
      </c>
      <c r="C36" s="235"/>
      <c r="D36" s="63">
        <v>250</v>
      </c>
      <c r="E36" s="159"/>
      <c r="F36" s="61">
        <f t="shared" si="0"/>
        <v>250</v>
      </c>
      <c r="G36" s="62"/>
    </row>
    <row r="37" spans="2:7" ht="16.5" thickTop="1" thickBot="1">
      <c r="B37" s="236" t="s">
        <v>12</v>
      </c>
      <c r="C37" s="235"/>
      <c r="D37" s="64">
        <v>400</v>
      </c>
      <c r="E37" s="159"/>
      <c r="F37" s="61">
        <f t="shared" si="0"/>
        <v>400</v>
      </c>
      <c r="G37" s="62"/>
    </row>
    <row r="38" spans="2:7" ht="16.5" thickTop="1" thickBot="1">
      <c r="B38" s="236" t="s">
        <v>165</v>
      </c>
      <c r="C38" s="235"/>
      <c r="D38" s="64">
        <v>100</v>
      </c>
      <c r="E38" s="159"/>
      <c r="F38" s="61">
        <f t="shared" si="0"/>
        <v>100</v>
      </c>
      <c r="G38" s="62"/>
    </row>
    <row r="39" spans="2:7" ht="16.5" thickTop="1" thickBot="1">
      <c r="B39" s="236" t="s">
        <v>14</v>
      </c>
      <c r="C39" s="235"/>
      <c r="D39" s="65">
        <v>150</v>
      </c>
      <c r="E39" s="159"/>
      <c r="F39" s="61">
        <f t="shared" si="0"/>
        <v>150</v>
      </c>
      <c r="G39" s="62"/>
    </row>
    <row r="40" spans="2:7" ht="16.5" thickTop="1" thickBot="1">
      <c r="B40" s="236" t="s">
        <v>13</v>
      </c>
      <c r="C40" s="235"/>
      <c r="D40" s="60">
        <v>500</v>
      </c>
      <c r="E40" s="159"/>
      <c r="F40" s="61">
        <f t="shared" si="0"/>
        <v>500</v>
      </c>
      <c r="G40" s="62"/>
    </row>
    <row r="41" spans="2:7" ht="16.5" thickTop="1" thickBot="1">
      <c r="B41" s="236" t="s">
        <v>19</v>
      </c>
      <c r="C41" s="235"/>
      <c r="D41" s="63">
        <v>250</v>
      </c>
      <c r="E41" s="159"/>
      <c r="F41" s="61">
        <f t="shared" si="0"/>
        <v>250</v>
      </c>
      <c r="G41" s="62"/>
    </row>
    <row r="42" spans="2:7" ht="16.5" thickTop="1" thickBot="1">
      <c r="B42" s="236" t="s">
        <v>166</v>
      </c>
      <c r="C42" s="235"/>
      <c r="D42" s="63">
        <v>100</v>
      </c>
      <c r="E42" s="159"/>
      <c r="F42" s="61">
        <f t="shared" si="0"/>
        <v>100</v>
      </c>
      <c r="G42" s="62"/>
    </row>
    <row r="43" spans="2:7" ht="16.5" thickTop="1" thickBot="1">
      <c r="B43" s="236" t="s">
        <v>20</v>
      </c>
      <c r="C43" s="235"/>
      <c r="D43" s="63">
        <v>100</v>
      </c>
      <c r="E43" s="159"/>
      <c r="F43" s="61">
        <f t="shared" si="0"/>
        <v>100</v>
      </c>
      <c r="G43" s="62"/>
    </row>
    <row r="44" spans="2:7" ht="16.5" thickTop="1" thickBot="1">
      <c r="B44" s="236" t="s">
        <v>21</v>
      </c>
      <c r="C44" s="235"/>
      <c r="D44" s="63">
        <v>20</v>
      </c>
      <c r="E44" s="159"/>
      <c r="F44" s="61">
        <f t="shared" si="0"/>
        <v>20</v>
      </c>
      <c r="G44" s="62"/>
    </row>
    <row r="45" spans="2:7" ht="16.5" thickTop="1" thickBot="1">
      <c r="B45" s="236" t="s">
        <v>22</v>
      </c>
      <c r="C45" s="235"/>
      <c r="D45" s="63">
        <v>50</v>
      </c>
      <c r="E45" s="159"/>
      <c r="F45" s="61">
        <f t="shared" si="0"/>
        <v>50</v>
      </c>
      <c r="G45" s="62"/>
    </row>
    <row r="46" spans="2:7" ht="16.5" thickTop="1" thickBot="1">
      <c r="B46" s="244" t="s">
        <v>167</v>
      </c>
      <c r="C46" s="235"/>
      <c r="D46" s="63">
        <v>0</v>
      </c>
      <c r="E46" s="159"/>
      <c r="F46" s="61">
        <f>IF(OR(ISBLANK(E46), ISNUMBER(E46)=FALSE),D46,E46)</f>
        <v>0</v>
      </c>
      <c r="G46" s="62"/>
    </row>
    <row r="47" spans="2:7" ht="16.5" thickTop="1" thickBot="1">
      <c r="B47" s="244" t="s">
        <v>168</v>
      </c>
      <c r="C47" s="235"/>
      <c r="D47" s="63">
        <v>0</v>
      </c>
      <c r="E47" s="159"/>
      <c r="F47" s="61">
        <f t="shared" si="0"/>
        <v>0</v>
      </c>
      <c r="G47" s="62"/>
    </row>
    <row r="48" spans="2:7" ht="16" thickTop="1"/>
    <row r="50" spans="2:7" ht="15.75" customHeight="1">
      <c r="B50" s="57" t="s">
        <v>27</v>
      </c>
    </row>
    <row r="51" spans="2:7">
      <c r="B51" s="66" t="s">
        <v>43</v>
      </c>
      <c r="C51" s="53"/>
    </row>
    <row r="52" spans="2:7" ht="31.5" thickBot="1">
      <c r="B52" s="237" t="s">
        <v>2</v>
      </c>
      <c r="C52" s="238"/>
      <c r="D52" s="58" t="s">
        <v>24</v>
      </c>
      <c r="E52" s="59" t="s">
        <v>25</v>
      </c>
      <c r="F52" s="58" t="s">
        <v>34</v>
      </c>
      <c r="G52" s="91" t="s">
        <v>26</v>
      </c>
    </row>
    <row r="53" spans="2:7" ht="16.5" thickTop="1" thickBot="1">
      <c r="B53" s="239" t="s">
        <v>49</v>
      </c>
      <c r="C53" s="235"/>
      <c r="D53" s="60">
        <v>2000</v>
      </c>
      <c r="E53" s="159"/>
      <c r="F53" s="61">
        <f t="shared" ref="F53:F55" si="1">IF(OR(ISBLANK(E53), ISNUMBER(E53)=FALSE),D53,E53)</f>
        <v>2000</v>
      </c>
      <c r="G53" s="67" t="s">
        <v>50</v>
      </c>
    </row>
    <row r="54" spans="2:7" ht="16.5" thickTop="1" thickBot="1">
      <c r="B54" s="244" t="s">
        <v>169</v>
      </c>
      <c r="C54" s="235"/>
      <c r="D54" s="63">
        <v>0</v>
      </c>
      <c r="E54" s="159"/>
      <c r="F54" s="61">
        <f t="shared" si="1"/>
        <v>0</v>
      </c>
      <c r="G54" s="67"/>
    </row>
    <row r="55" spans="2:7" ht="16.5" thickTop="1" thickBot="1">
      <c r="B55" s="244" t="s">
        <v>170</v>
      </c>
      <c r="C55" s="235"/>
      <c r="D55" s="63">
        <v>0</v>
      </c>
      <c r="E55" s="159"/>
      <c r="F55" s="61">
        <f t="shared" si="1"/>
        <v>0</v>
      </c>
      <c r="G55" s="67"/>
    </row>
    <row r="56" spans="2:7" ht="20.149999999999999" customHeight="1" thickTop="1"/>
    <row r="57" spans="2:7">
      <c r="B57" s="53" t="s">
        <v>44</v>
      </c>
      <c r="C57" s="53"/>
    </row>
    <row r="58" spans="2:7" ht="31.5" thickBot="1">
      <c r="B58" s="237" t="s">
        <v>2</v>
      </c>
      <c r="C58" s="238"/>
      <c r="D58" s="58" t="s">
        <v>24</v>
      </c>
      <c r="E58" s="59" t="s">
        <v>25</v>
      </c>
      <c r="F58" s="58" t="s">
        <v>34</v>
      </c>
      <c r="G58" s="91" t="s">
        <v>26</v>
      </c>
    </row>
    <row r="59" spans="2:7" ht="16.5" thickTop="1" thickBot="1">
      <c r="B59" s="236" t="s">
        <v>1</v>
      </c>
      <c r="C59" s="235"/>
      <c r="D59" s="69">
        <v>600</v>
      </c>
      <c r="E59" s="159"/>
      <c r="F59" s="70">
        <f t="shared" ref="F59:F61" si="2">IF(OR(ISBLANK(E59), ISNUMBER(E59)=FALSE),D59,E59)</f>
        <v>600</v>
      </c>
      <c r="G59" s="62"/>
    </row>
    <row r="60" spans="2:7" ht="16.5" thickTop="1" thickBot="1">
      <c r="B60" s="244" t="s">
        <v>171</v>
      </c>
      <c r="C60" s="243"/>
      <c r="D60" s="63">
        <v>0</v>
      </c>
      <c r="E60" s="159"/>
      <c r="F60" s="61">
        <f t="shared" si="2"/>
        <v>0</v>
      </c>
      <c r="G60" s="67"/>
    </row>
    <row r="61" spans="2:7" ht="16.5" thickTop="1" thickBot="1">
      <c r="B61" s="244" t="s">
        <v>172</v>
      </c>
      <c r="C61" s="243"/>
      <c r="D61" s="63">
        <v>0</v>
      </c>
      <c r="E61" s="159"/>
      <c r="F61" s="61">
        <f t="shared" si="2"/>
        <v>0</v>
      </c>
      <c r="G61" s="67"/>
    </row>
    <row r="62" spans="2:7" ht="16" thickTop="1"/>
    <row r="64" spans="2:7" ht="15.75" customHeight="1" thickBot="1">
      <c r="B64" s="57" t="s">
        <v>28</v>
      </c>
      <c r="E64" s="207"/>
    </row>
    <row r="65" spans="2:10" ht="16.5" thickTop="1" thickBot="1">
      <c r="B65" s="53" t="s">
        <v>45</v>
      </c>
      <c r="C65" s="53"/>
      <c r="D65" s="71" t="s">
        <v>67</v>
      </c>
      <c r="E65" s="192" t="s">
        <v>74</v>
      </c>
      <c r="I65" s="247" t="s">
        <v>255</v>
      </c>
      <c r="J65" s="247"/>
    </row>
    <row r="66" spans="2:10" ht="3" customHeight="1" thickTop="1">
      <c r="B66" s="53"/>
      <c r="C66" s="54"/>
      <c r="D66" s="54"/>
    </row>
    <row r="67" spans="2:10" ht="16" thickBot="1">
      <c r="B67" s="237" t="s">
        <v>2</v>
      </c>
      <c r="C67" s="238"/>
      <c r="D67" s="72" t="s">
        <v>40</v>
      </c>
      <c r="E67" s="72" t="s">
        <v>41</v>
      </c>
      <c r="F67" s="58" t="s">
        <v>34</v>
      </c>
    </row>
    <row r="68" spans="2:10" ht="16.5" thickTop="1" thickBot="1">
      <c r="B68" s="246" t="s">
        <v>39</v>
      </c>
      <c r="C68" s="235"/>
      <c r="D68" s="73">
        <v>300</v>
      </c>
      <c r="E68" s="49"/>
      <c r="F68" s="74">
        <f>IF(OR(ISBLANK(E68), ISNUMBER(E68)=FALSE),D68,E68)</f>
        <v>300</v>
      </c>
      <c r="H68" s="189"/>
    </row>
    <row r="69" spans="2:10" ht="16.5" thickTop="1" thickBot="1">
      <c r="B69" s="246" t="s">
        <v>38</v>
      </c>
      <c r="C69" s="234"/>
      <c r="D69" s="73">
        <v>5</v>
      </c>
      <c r="E69" s="49"/>
      <c r="F69" s="74">
        <f>IF(OR(ISBLANK(E69), ISNUMBER(E69)=FALSE),D69,E69)</f>
        <v>5</v>
      </c>
      <c r="H69" s="190"/>
    </row>
    <row r="70" spans="2:10" ht="32" thickTop="1" thickBot="1">
      <c r="B70" s="237" t="s">
        <v>2</v>
      </c>
      <c r="C70" s="238"/>
      <c r="D70" s="58" t="s">
        <v>24</v>
      </c>
      <c r="E70" s="59" t="s">
        <v>25</v>
      </c>
      <c r="F70" s="58" t="s">
        <v>34</v>
      </c>
      <c r="G70" s="91" t="s">
        <v>26</v>
      </c>
    </row>
    <row r="71" spans="2:10" ht="16.5" thickTop="1" thickBot="1">
      <c r="B71" s="236" t="s">
        <v>18</v>
      </c>
      <c r="C71" s="235"/>
      <c r="D71" s="63">
        <v>2000</v>
      </c>
      <c r="E71" s="159"/>
      <c r="F71" s="61">
        <f>IF(OR(ISBLANK(E71), ISNUMBER(E71)=FALSE),D71,E71)</f>
        <v>2000</v>
      </c>
      <c r="G71" s="62" t="s">
        <v>5</v>
      </c>
    </row>
    <row r="72" spans="2:10" ht="16.5" thickTop="1" thickBot="1">
      <c r="B72" s="236" t="s">
        <v>15</v>
      </c>
      <c r="C72" s="235"/>
      <c r="D72" s="60">
        <v>50</v>
      </c>
      <c r="E72" s="159"/>
      <c r="F72" s="61">
        <f t="shared" ref="F72:F79" si="3">IF(OR(ISBLANK(E72), ISNUMBER(E72)=FALSE),D72,E72)</f>
        <v>50</v>
      </c>
      <c r="G72" s="67" t="s">
        <v>5</v>
      </c>
    </row>
    <row r="73" spans="2:10" ht="16.5" thickTop="1" thickBot="1">
      <c r="B73" s="236" t="s">
        <v>16</v>
      </c>
      <c r="C73" s="235"/>
      <c r="D73" s="63">
        <v>4000</v>
      </c>
      <c r="E73" s="159"/>
      <c r="F73" s="61">
        <f t="shared" si="3"/>
        <v>4000</v>
      </c>
      <c r="G73" s="62" t="s">
        <v>5</v>
      </c>
    </row>
    <row r="74" spans="2:10" ht="16.5" thickTop="1" thickBot="1">
      <c r="B74" s="236" t="s">
        <v>3</v>
      </c>
      <c r="C74" s="235"/>
      <c r="D74" s="63">
        <v>500</v>
      </c>
      <c r="E74" s="159"/>
      <c r="F74" s="61">
        <f t="shared" si="3"/>
        <v>500</v>
      </c>
      <c r="G74" s="62" t="s">
        <v>5</v>
      </c>
    </row>
    <row r="75" spans="2:10" ht="16.5" thickTop="1" thickBot="1">
      <c r="B75" s="236" t="s">
        <v>17</v>
      </c>
      <c r="C75" s="235"/>
      <c r="D75" s="63">
        <v>500</v>
      </c>
      <c r="E75" s="159"/>
      <c r="F75" s="61">
        <f t="shared" si="3"/>
        <v>500</v>
      </c>
      <c r="G75" s="62" t="s">
        <v>5</v>
      </c>
    </row>
    <row r="76" spans="2:10" ht="16.5" thickTop="1" thickBot="1">
      <c r="B76" s="242" t="s">
        <v>213</v>
      </c>
      <c r="C76" s="235"/>
      <c r="D76" s="60">
        <f>IF(VLOOKUP(E65,'Variety Data'!B6:S21,12,FALSE)="UWisconsin", 0, VLOOKUP(E65,'Variety Data'!B6:S21,16,FALSE))</f>
        <v>2194.83</v>
      </c>
      <c r="E76" s="159"/>
      <c r="F76" s="61">
        <f t="shared" si="3"/>
        <v>2194.83</v>
      </c>
      <c r="G76" s="62" t="s">
        <v>5</v>
      </c>
      <c r="H76" s="75" t="s">
        <v>106</v>
      </c>
    </row>
    <row r="77" spans="2:10" ht="16.5" thickTop="1" thickBot="1">
      <c r="B77" s="167" t="s">
        <v>212</v>
      </c>
      <c r="C77" s="161"/>
      <c r="D77" s="63">
        <f>IF(VLOOKUP(E65,'Variety Data'!B6:S21,12,FALSE)="UWisconsin", VLOOKUP(E65,'Variety Data'!B6:S21,18,FALSE), 0)</f>
        <v>0</v>
      </c>
      <c r="E77" s="159"/>
      <c r="F77" s="61">
        <f t="shared" si="3"/>
        <v>0</v>
      </c>
      <c r="G77" s="166" t="s">
        <v>214</v>
      </c>
      <c r="H77" s="75"/>
    </row>
    <row r="78" spans="2:10" ht="16.5" thickTop="1" thickBot="1">
      <c r="B78" s="244" t="s">
        <v>173</v>
      </c>
      <c r="C78" s="243"/>
      <c r="D78" s="63">
        <v>0</v>
      </c>
      <c r="E78" s="159"/>
      <c r="F78" s="61">
        <f t="shared" si="3"/>
        <v>0</v>
      </c>
      <c r="G78" s="62"/>
    </row>
    <row r="79" spans="2:10" ht="16.5" thickTop="1" thickBot="1">
      <c r="B79" s="244" t="s">
        <v>174</v>
      </c>
      <c r="C79" s="243"/>
      <c r="D79" s="76">
        <v>0</v>
      </c>
      <c r="E79" s="159"/>
      <c r="F79" s="77">
        <f t="shared" si="3"/>
        <v>0</v>
      </c>
      <c r="G79" s="62"/>
    </row>
    <row r="80" spans="2:10" ht="16" thickTop="1">
      <c r="B80" s="244" t="s">
        <v>80</v>
      </c>
      <c r="C80" s="235"/>
      <c r="D80" s="165" t="s">
        <v>211</v>
      </c>
      <c r="E80" s="78"/>
      <c r="F80" s="78"/>
      <c r="G80" s="79" t="s">
        <v>79</v>
      </c>
    </row>
    <row r="81" spans="2:10" ht="20.149999999999999" customHeight="1" thickBot="1">
      <c r="C81" s="52"/>
    </row>
    <row r="82" spans="2:10" ht="16.5" thickTop="1" thickBot="1">
      <c r="B82" s="53" t="s">
        <v>46</v>
      </c>
      <c r="C82" s="53"/>
      <c r="D82" s="71" t="s">
        <v>67</v>
      </c>
      <c r="E82" s="141" t="s">
        <v>56</v>
      </c>
      <c r="I82" s="247" t="s">
        <v>255</v>
      </c>
      <c r="J82" s="247"/>
    </row>
    <row r="83" spans="2:10" ht="3" customHeight="1" thickTop="1">
      <c r="B83" s="53"/>
      <c r="C83" s="54"/>
      <c r="D83" s="54"/>
    </row>
    <row r="84" spans="2:10" ht="31.5" thickBot="1">
      <c r="B84" s="237" t="s">
        <v>2</v>
      </c>
      <c r="C84" s="238"/>
      <c r="D84" s="58" t="s">
        <v>24</v>
      </c>
      <c r="E84" s="59" t="s">
        <v>25</v>
      </c>
      <c r="F84" s="58" t="s">
        <v>34</v>
      </c>
      <c r="G84" s="91" t="s">
        <v>26</v>
      </c>
    </row>
    <row r="85" spans="2:10" ht="16.5" thickTop="1" thickBot="1">
      <c r="B85" s="236" t="s">
        <v>18</v>
      </c>
      <c r="C85" s="235"/>
      <c r="D85" s="63">
        <v>2000</v>
      </c>
      <c r="E85" s="159"/>
      <c r="F85" s="61">
        <f t="shared" ref="F85:F94" si="4">IF(OR(ISBLANK(E85), ISNUMBER(E85)=FALSE),D85,E85)</f>
        <v>2000</v>
      </c>
      <c r="G85" s="62" t="s">
        <v>5</v>
      </c>
    </row>
    <row r="86" spans="2:10" ht="16.5" thickTop="1" thickBot="1">
      <c r="B86" s="236" t="s">
        <v>15</v>
      </c>
      <c r="C86" s="235"/>
      <c r="D86" s="60">
        <v>50</v>
      </c>
      <c r="E86" s="159"/>
      <c r="F86" s="61">
        <f t="shared" si="4"/>
        <v>50</v>
      </c>
      <c r="G86" s="62" t="s">
        <v>5</v>
      </c>
    </row>
    <row r="87" spans="2:10" ht="16.5" thickTop="1" thickBot="1">
      <c r="B87" s="236" t="s">
        <v>16</v>
      </c>
      <c r="C87" s="235"/>
      <c r="D87" s="63">
        <v>4000</v>
      </c>
      <c r="E87" s="159"/>
      <c r="F87" s="61">
        <f t="shared" si="4"/>
        <v>4000</v>
      </c>
      <c r="G87" s="62" t="s">
        <v>5</v>
      </c>
    </row>
    <row r="88" spans="2:10" ht="16.5" thickTop="1" thickBot="1">
      <c r="B88" s="245" t="s">
        <v>123</v>
      </c>
      <c r="C88" s="235"/>
      <c r="D88" s="60">
        <f>VLOOKUP(E82,'Variety Data'!B6:S21,14,FALSE)</f>
        <v>14632.2</v>
      </c>
      <c r="E88" s="159"/>
      <c r="F88" s="61">
        <f t="shared" si="4"/>
        <v>14632.2</v>
      </c>
      <c r="G88" s="62" t="s">
        <v>5</v>
      </c>
    </row>
    <row r="89" spans="2:10" ht="16.5" thickTop="1" thickBot="1">
      <c r="B89" s="80" t="s">
        <v>83</v>
      </c>
      <c r="C89" s="81"/>
      <c r="D89" s="63">
        <v>1000</v>
      </c>
      <c r="E89" s="159"/>
      <c r="F89" s="61">
        <f t="shared" si="4"/>
        <v>1000</v>
      </c>
      <c r="G89" s="62" t="s">
        <v>5</v>
      </c>
    </row>
    <row r="90" spans="2:10" ht="16.5" thickTop="1" thickBot="1">
      <c r="B90" s="236" t="s">
        <v>17</v>
      </c>
      <c r="C90" s="235"/>
      <c r="D90" s="63">
        <v>500</v>
      </c>
      <c r="E90" s="159"/>
      <c r="F90" s="61">
        <f t="shared" si="4"/>
        <v>500</v>
      </c>
      <c r="G90" s="62" t="s">
        <v>5</v>
      </c>
    </row>
    <row r="91" spans="2:10" ht="16.5" thickTop="1" thickBot="1">
      <c r="B91" s="242" t="s">
        <v>213</v>
      </c>
      <c r="C91" s="235"/>
      <c r="D91" s="60">
        <f>VLOOKUP(E82,'Variety Data'!B6:S21,16,FALSE)</f>
        <v>2394.36</v>
      </c>
      <c r="E91" s="159"/>
      <c r="F91" s="61">
        <f t="shared" si="4"/>
        <v>2394.36</v>
      </c>
      <c r="G91" s="62" t="s">
        <v>5</v>
      </c>
      <c r="H91" s="75" t="s">
        <v>106</v>
      </c>
    </row>
    <row r="92" spans="2:10" ht="16.5" thickTop="1" thickBot="1">
      <c r="B92" s="167" t="s">
        <v>212</v>
      </c>
      <c r="C92" s="161"/>
      <c r="D92" s="63">
        <f>IF(VLOOKUP(E82,'Variety Data'!B6:S21,12,FALSE)="UWisconsin", VLOOKUP(E82,'Variety Data'!B6:S21,18,FALSE), 0)</f>
        <v>0</v>
      </c>
      <c r="E92" s="159"/>
      <c r="F92" s="61">
        <f>IF(OR(ISBLANK(E92), ISNUMBER(E92)=FALSE),D92,E92)</f>
        <v>0</v>
      </c>
      <c r="G92" s="166" t="s">
        <v>215</v>
      </c>
      <c r="H92" s="75"/>
    </row>
    <row r="93" spans="2:10" ht="16.5" thickTop="1" thickBot="1">
      <c r="B93" s="242" t="s">
        <v>216</v>
      </c>
      <c r="C93" s="243"/>
      <c r="D93" s="63">
        <v>0</v>
      </c>
      <c r="E93" s="159"/>
      <c r="F93" s="61">
        <f>IF(OR(ISBLANK(E93), ISNUMBER(E93)=FALSE),D93,E93)</f>
        <v>0</v>
      </c>
      <c r="G93" s="62"/>
    </row>
    <row r="94" spans="2:10" ht="16.5" thickTop="1" thickBot="1">
      <c r="B94" s="244" t="s">
        <v>175</v>
      </c>
      <c r="C94" s="243"/>
      <c r="D94" s="63">
        <v>0</v>
      </c>
      <c r="E94" s="159"/>
      <c r="F94" s="61">
        <f t="shared" si="4"/>
        <v>0</v>
      </c>
      <c r="G94" s="62"/>
    </row>
    <row r="95" spans="2:10" ht="20.149999999999999" customHeight="1" thickTop="1" thickBot="1"/>
    <row r="96" spans="2:10" ht="16.5" thickTop="1" thickBot="1">
      <c r="B96" s="53" t="s">
        <v>141</v>
      </c>
      <c r="C96" s="82"/>
      <c r="D96" s="71" t="s">
        <v>67</v>
      </c>
      <c r="E96" s="171" t="s">
        <v>72</v>
      </c>
      <c r="I96" s="247" t="s">
        <v>255</v>
      </c>
      <c r="J96" s="247"/>
    </row>
    <row r="97" spans="2:10" ht="3" customHeight="1" thickTop="1">
      <c r="B97" s="53"/>
      <c r="C97" s="54"/>
      <c r="D97" s="54"/>
    </row>
    <row r="98" spans="2:10" ht="31.5" thickBot="1">
      <c r="B98" s="237" t="s">
        <v>2</v>
      </c>
      <c r="C98" s="238"/>
      <c r="D98" s="58" t="s">
        <v>24</v>
      </c>
      <c r="E98" s="59" t="s">
        <v>25</v>
      </c>
      <c r="F98" s="58" t="s">
        <v>34</v>
      </c>
      <c r="G98" s="91" t="s">
        <v>26</v>
      </c>
    </row>
    <row r="99" spans="2:10" ht="16.5" thickTop="1" thickBot="1">
      <c r="B99" s="236" t="s">
        <v>18</v>
      </c>
      <c r="C99" s="235"/>
      <c r="D99" s="63">
        <v>2000</v>
      </c>
      <c r="E99" s="159"/>
      <c r="F99" s="61">
        <f t="shared" ref="F99:F108" si="5">IF(OR(ISBLANK(E99), ISNUMBER(E99)=FALSE),D99,E99)</f>
        <v>2000</v>
      </c>
      <c r="G99" s="62" t="s">
        <v>5</v>
      </c>
    </row>
    <row r="100" spans="2:10" ht="16.5" thickTop="1" thickBot="1">
      <c r="B100" s="236" t="s">
        <v>15</v>
      </c>
      <c r="C100" s="235"/>
      <c r="D100" s="60">
        <v>50</v>
      </c>
      <c r="E100" s="159"/>
      <c r="F100" s="61">
        <f t="shared" si="5"/>
        <v>50</v>
      </c>
      <c r="G100" s="62" t="s">
        <v>5</v>
      </c>
    </row>
    <row r="101" spans="2:10" ht="16.5" thickTop="1" thickBot="1">
      <c r="B101" s="236" t="s">
        <v>16</v>
      </c>
      <c r="C101" s="235"/>
      <c r="D101" s="63">
        <v>4000</v>
      </c>
      <c r="E101" s="173"/>
      <c r="F101" s="61">
        <f t="shared" si="5"/>
        <v>4000</v>
      </c>
      <c r="G101" s="62" t="s">
        <v>5</v>
      </c>
    </row>
    <row r="102" spans="2:10" ht="16.5" thickTop="1" thickBot="1">
      <c r="B102" s="245" t="s">
        <v>124</v>
      </c>
      <c r="C102" s="235"/>
      <c r="D102" s="60">
        <f>VLOOKUP(E96,'Variety Data'!B6:S21,14,FALSE)</f>
        <v>14632.2</v>
      </c>
      <c r="E102" s="159"/>
      <c r="F102" s="61">
        <f t="shared" si="5"/>
        <v>14632.2</v>
      </c>
      <c r="G102" s="62" t="s">
        <v>5</v>
      </c>
    </row>
    <row r="103" spans="2:10" ht="16.5" thickTop="1" thickBot="1">
      <c r="B103" s="80" t="s">
        <v>83</v>
      </c>
      <c r="C103" s="81"/>
      <c r="D103" s="63">
        <v>1000</v>
      </c>
      <c r="E103" s="159"/>
      <c r="F103" s="61">
        <f t="shared" si="5"/>
        <v>1000</v>
      </c>
      <c r="G103" s="62" t="s">
        <v>5</v>
      </c>
    </row>
    <row r="104" spans="2:10" ht="16.5" thickTop="1" thickBot="1">
      <c r="B104" s="236" t="s">
        <v>17</v>
      </c>
      <c r="C104" s="235"/>
      <c r="D104" s="63">
        <v>1750</v>
      </c>
      <c r="E104" s="159"/>
      <c r="F104" s="61">
        <f t="shared" si="5"/>
        <v>1750</v>
      </c>
      <c r="G104" s="62" t="s">
        <v>5</v>
      </c>
    </row>
    <row r="105" spans="2:10" ht="16.5" thickTop="1" thickBot="1">
      <c r="B105" s="242" t="s">
        <v>213</v>
      </c>
      <c r="C105" s="235"/>
      <c r="D105" s="60">
        <f>IF(VLOOKUP(E96,'Variety Data'!B6:Q21,12,FALSE)="Valley Corp", 0, VLOOKUP(E96,'Variety Data'!B6:Q21,16,FALSE))</f>
        <v>2194.83</v>
      </c>
      <c r="E105" s="159"/>
      <c r="F105" s="61">
        <f t="shared" si="5"/>
        <v>2194.83</v>
      </c>
      <c r="G105" s="166" t="s">
        <v>218</v>
      </c>
      <c r="H105" s="75" t="s">
        <v>106</v>
      </c>
    </row>
    <row r="106" spans="2:10" ht="16.5" thickTop="1" thickBot="1">
      <c r="B106" s="167" t="s">
        <v>212</v>
      </c>
      <c r="C106" s="161"/>
      <c r="D106" s="63">
        <f>IF(VLOOKUP(E96,'Variety Data'!B6:S21,12,FALSE)="UWisconsin", VLOOKUP(E96,'Variety Data'!B6:S21,18,FALSE), 0)</f>
        <v>0</v>
      </c>
      <c r="E106" s="159"/>
      <c r="F106" s="61">
        <f>IF(OR(ISBLANK(E106), ISNUMBER(E106)=FALSE),D106,E106)</f>
        <v>0</v>
      </c>
      <c r="G106" s="166" t="s">
        <v>215</v>
      </c>
      <c r="H106" s="75"/>
    </row>
    <row r="107" spans="2:10" ht="16.5" thickTop="1" thickBot="1">
      <c r="B107" s="242" t="s">
        <v>217</v>
      </c>
      <c r="C107" s="235"/>
      <c r="D107" s="63">
        <v>0</v>
      </c>
      <c r="E107" s="159"/>
      <c r="F107" s="61">
        <f>IF(OR(ISBLANK(E107), ISNUMBER(E107)=FALSE),D107,E107)</f>
        <v>0</v>
      </c>
      <c r="G107" s="62"/>
    </row>
    <row r="108" spans="2:10" ht="16.5" thickTop="1" thickBot="1">
      <c r="B108" s="233" t="s">
        <v>176</v>
      </c>
      <c r="C108" s="235"/>
      <c r="D108" s="63">
        <v>0</v>
      </c>
      <c r="E108" s="159"/>
      <c r="F108" s="61">
        <f t="shared" si="5"/>
        <v>0</v>
      </c>
      <c r="G108" s="62"/>
    </row>
    <row r="109" spans="2:10" ht="16.5" thickTop="1" thickBot="1">
      <c r="B109" s="188"/>
      <c r="C109" s="85"/>
      <c r="D109" s="89"/>
      <c r="E109" s="89"/>
      <c r="F109" s="89"/>
      <c r="G109" s="85"/>
    </row>
    <row r="110" spans="2:10" ht="16.5" thickTop="1" thickBot="1">
      <c r="B110" s="53" t="s">
        <v>97</v>
      </c>
      <c r="C110" s="82"/>
      <c r="D110" s="71" t="s">
        <v>96</v>
      </c>
      <c r="E110" s="171" t="s">
        <v>112</v>
      </c>
      <c r="I110" s="247" t="s">
        <v>255</v>
      </c>
      <c r="J110" s="247"/>
    </row>
    <row r="111" spans="2:10" ht="3" customHeight="1" thickTop="1">
      <c r="B111" s="53"/>
      <c r="C111" s="54"/>
      <c r="D111" s="54"/>
    </row>
    <row r="112" spans="2:10" ht="31.5" thickBot="1">
      <c r="B112" s="237" t="s">
        <v>2</v>
      </c>
      <c r="C112" s="238"/>
      <c r="D112" s="58" t="s">
        <v>24</v>
      </c>
      <c r="E112" s="59" t="s">
        <v>25</v>
      </c>
      <c r="F112" s="58" t="s">
        <v>34</v>
      </c>
      <c r="G112" s="91" t="s">
        <v>26</v>
      </c>
    </row>
    <row r="113" spans="2:8" ht="16.5" thickTop="1" thickBot="1">
      <c r="B113" s="236" t="s">
        <v>18</v>
      </c>
      <c r="C113" s="235"/>
      <c r="D113" s="63">
        <v>2000</v>
      </c>
      <c r="E113" s="159"/>
      <c r="F113" s="61">
        <f>IF(OR(ISBLANK(E113), ISNUMBER(E113)=FALSE),D113,E113)</f>
        <v>2000</v>
      </c>
      <c r="G113" s="62" t="s">
        <v>5</v>
      </c>
    </row>
    <row r="114" spans="2:8" ht="16.5" thickTop="1" thickBot="1">
      <c r="B114" s="236" t="s">
        <v>15</v>
      </c>
      <c r="C114" s="235"/>
      <c r="D114" s="60">
        <v>50</v>
      </c>
      <c r="E114" s="159"/>
      <c r="F114" s="61">
        <f t="shared" ref="F114:F123" si="6">IF(OR(ISBLANK(E114), ISNUMBER(E114)=FALSE),D114,E114)</f>
        <v>50</v>
      </c>
      <c r="G114" s="62" t="s">
        <v>5</v>
      </c>
    </row>
    <row r="115" spans="2:8" ht="16.5" thickTop="1" thickBot="1">
      <c r="B115" s="236" t="s">
        <v>16</v>
      </c>
      <c r="C115" s="235"/>
      <c r="D115" s="63">
        <v>4000</v>
      </c>
      <c r="E115" s="159"/>
      <c r="F115" s="61">
        <f t="shared" si="6"/>
        <v>4000</v>
      </c>
      <c r="G115" s="62" t="s">
        <v>5</v>
      </c>
    </row>
    <row r="116" spans="2:8" ht="16.5" thickTop="1" thickBot="1">
      <c r="B116" s="83" t="s">
        <v>123</v>
      </c>
      <c r="C116" s="81"/>
      <c r="D116" s="60">
        <v>500</v>
      </c>
      <c r="E116" s="159"/>
      <c r="F116" s="61">
        <f>IF(OR(ISBLANK(E116), ISNUMBER(E116)=FALSE),D116,E116)</f>
        <v>500</v>
      </c>
      <c r="G116" s="62"/>
    </row>
    <row r="117" spans="2:8" ht="16.5" thickTop="1" thickBot="1">
      <c r="B117" s="233" t="s">
        <v>81</v>
      </c>
      <c r="C117" s="234"/>
      <c r="D117" s="60">
        <f>((10/25)/128)*45000</f>
        <v>140.625</v>
      </c>
      <c r="E117" s="159"/>
      <c r="F117" s="61">
        <f t="shared" si="6"/>
        <v>140.625</v>
      </c>
      <c r="G117" s="68" t="s">
        <v>100</v>
      </c>
    </row>
    <row r="118" spans="2:8" ht="16.5" thickTop="1" thickBot="1">
      <c r="B118" s="80" t="s">
        <v>82</v>
      </c>
      <c r="C118" s="81"/>
      <c r="D118" s="63">
        <f>(2/128)*45000</f>
        <v>703.125</v>
      </c>
      <c r="E118" s="159"/>
      <c r="F118" s="61">
        <f>IF(OR(ISBLANK(E118), ISNUMBER(E118)=FALSE),D118,E118)</f>
        <v>703.125</v>
      </c>
      <c r="G118" s="68" t="s">
        <v>101</v>
      </c>
    </row>
    <row r="119" spans="2:8" ht="16.5" thickTop="1" thickBot="1">
      <c r="B119" s="80" t="s">
        <v>99</v>
      </c>
      <c r="C119" s="81"/>
      <c r="D119" s="63">
        <f>0.06*45000</f>
        <v>2700</v>
      </c>
      <c r="E119" s="159"/>
      <c r="F119" s="61">
        <f>IF(OR(ISBLANK(E119), ISNUMBER(E119)=FALSE),D119,E119)</f>
        <v>2700</v>
      </c>
      <c r="G119" s="68" t="s">
        <v>102</v>
      </c>
    </row>
    <row r="120" spans="2:8" ht="16.5" thickTop="1" thickBot="1">
      <c r="B120" s="233" t="s">
        <v>98</v>
      </c>
      <c r="C120" s="235"/>
      <c r="D120" s="63">
        <f>0.035*45000</f>
        <v>1575.0000000000002</v>
      </c>
      <c r="E120" s="159"/>
      <c r="F120" s="61">
        <f t="shared" si="6"/>
        <v>1575.0000000000002</v>
      </c>
      <c r="G120" s="68" t="s">
        <v>103</v>
      </c>
    </row>
    <row r="121" spans="2:8" ht="16.5" thickTop="1" thickBot="1">
      <c r="B121" s="236" t="s">
        <v>17</v>
      </c>
      <c r="C121" s="235"/>
      <c r="D121" s="63">
        <v>1750</v>
      </c>
      <c r="E121" s="159"/>
      <c r="F121" s="61">
        <f t="shared" si="6"/>
        <v>1750</v>
      </c>
      <c r="G121" s="62"/>
      <c r="H121" s="75"/>
    </row>
    <row r="122" spans="2:8" ht="16.5" thickTop="1" thickBot="1">
      <c r="B122" s="233" t="s">
        <v>177</v>
      </c>
      <c r="C122" s="235"/>
      <c r="D122" s="63">
        <v>0</v>
      </c>
      <c r="E122" s="159"/>
      <c r="F122" s="61">
        <f t="shared" si="6"/>
        <v>0</v>
      </c>
      <c r="G122" s="62"/>
    </row>
    <row r="123" spans="2:8" ht="16.5" thickTop="1" thickBot="1">
      <c r="B123" s="233" t="s">
        <v>178</v>
      </c>
      <c r="C123" s="235"/>
      <c r="D123" s="63">
        <v>0</v>
      </c>
      <c r="E123" s="159"/>
      <c r="F123" s="61">
        <f t="shared" si="6"/>
        <v>0</v>
      </c>
      <c r="G123" s="62"/>
    </row>
    <row r="124" spans="2:8" ht="20.149999999999999" customHeight="1" thickTop="1"/>
  </sheetData>
  <sheetProtection algorithmName="SHA-512" hashValue="rrzd31IrlTHfv+i5ReCUH9+hrTfKhXpY8YyvQJA0qiU4/m7KX7WsNPY3r7gUlyqRN5v2gyZ3EBE+Syno/Q7C8w==" saltValue="7ie/jotYgytpqLWJDgM3bQ==" spinCount="100000" sheet="1" selectLockedCells="1"/>
  <mergeCells count="83">
    <mergeCell ref="I110:J110"/>
    <mergeCell ref="H22:I22"/>
    <mergeCell ref="H23:I23"/>
    <mergeCell ref="I65:J65"/>
    <mergeCell ref="I82:J82"/>
    <mergeCell ref="I96:J96"/>
    <mergeCell ref="C4:D4"/>
    <mergeCell ref="C6:D6"/>
    <mergeCell ref="B105:C105"/>
    <mergeCell ref="B84:C84"/>
    <mergeCell ref="B98:C98"/>
    <mergeCell ref="B67:C67"/>
    <mergeCell ref="B68:C68"/>
    <mergeCell ref="B69:C69"/>
    <mergeCell ref="B90:C90"/>
    <mergeCell ref="B73:C73"/>
    <mergeCell ref="B91:C91"/>
    <mergeCell ref="B79:C79"/>
    <mergeCell ref="B74:C74"/>
    <mergeCell ref="B52:C52"/>
    <mergeCell ref="B33:C33"/>
    <mergeCell ref="B38:C38"/>
    <mergeCell ref="B108:C108"/>
    <mergeCell ref="B72:C72"/>
    <mergeCell ref="B71:C71"/>
    <mergeCell ref="B70:C70"/>
    <mergeCell ref="B76:C76"/>
    <mergeCell ref="B85:C85"/>
    <mergeCell ref="B86:C86"/>
    <mergeCell ref="B87:C87"/>
    <mergeCell ref="B88:C88"/>
    <mergeCell ref="B75:C75"/>
    <mergeCell ref="B80:C80"/>
    <mergeCell ref="B101:C101"/>
    <mergeCell ref="B102:C102"/>
    <mergeCell ref="B104:C104"/>
    <mergeCell ref="B99:C99"/>
    <mergeCell ref="B100:C100"/>
    <mergeCell ref="B53:C53"/>
    <mergeCell ref="B59:C59"/>
    <mergeCell ref="B58:C58"/>
    <mergeCell ref="B39:C39"/>
    <mergeCell ref="B37:C37"/>
    <mergeCell ref="B36:C36"/>
    <mergeCell ref="B35:C35"/>
    <mergeCell ref="B34:C34"/>
    <mergeCell ref="B44:C44"/>
    <mergeCell ref="B42:C42"/>
    <mergeCell ref="B43:C43"/>
    <mergeCell ref="B41:C41"/>
    <mergeCell ref="B40:C40"/>
    <mergeCell ref="B123:C123"/>
    <mergeCell ref="B19:F19"/>
    <mergeCell ref="B112:C112"/>
    <mergeCell ref="B113:C113"/>
    <mergeCell ref="B114:C114"/>
    <mergeCell ref="B115:C115"/>
    <mergeCell ref="B93:C93"/>
    <mergeCell ref="B94:C94"/>
    <mergeCell ref="B107:C107"/>
    <mergeCell ref="B60:C60"/>
    <mergeCell ref="B61:C61"/>
    <mergeCell ref="B78:C78"/>
    <mergeCell ref="B46:C46"/>
    <mergeCell ref="B47:C47"/>
    <mergeCell ref="B54:C54"/>
    <mergeCell ref="B55:C55"/>
    <mergeCell ref="C5:D5"/>
    <mergeCell ref="B117:C117"/>
    <mergeCell ref="B120:C120"/>
    <mergeCell ref="B121:C121"/>
    <mergeCell ref="B122:C122"/>
    <mergeCell ref="B17:C17"/>
    <mergeCell ref="B18:C18"/>
    <mergeCell ref="B12:C12"/>
    <mergeCell ref="B13:C13"/>
    <mergeCell ref="B14:C14"/>
    <mergeCell ref="B22:C22"/>
    <mergeCell ref="B23:C23"/>
    <mergeCell ref="B32:C32"/>
    <mergeCell ref="B31:C31"/>
    <mergeCell ref="B30:C30"/>
    <mergeCell ref="B45:C45"/>
  </mergeCells>
  <hyperlinks>
    <hyperlink ref="B19" r:id="rId1" display="https://www.bankofcanada.ca/rates/exchange/daily-exchange-rates/" xr:uid="{7B78AF93-F5B5-7D49-A247-8AC2DF6A890C}"/>
  </hyperlinks>
  <pageMargins left="0.7" right="0.7" top="0.75" bottom="0.75" header="0.3" footer="0.3"/>
  <pageSetup scale="66" orientation="portrait" verticalDpi="0" r:id="rId2"/>
  <headerFooter differentFirst="1">
    <oddHeader>&amp;R&amp;"Calibri (Body),Regular"&amp;K00-026RETURN ON INVESTMENT CALCULATOR
PRODUCTION INPUTS &amp;&amp; COSTS</oddHeader>
    <oddFooter>&amp;RPage &amp;P of &amp;N</oddFooter>
    <firstFooter>&amp;RPage &amp;P of &amp;N</firstFooter>
  </headerFooter>
  <rowBreaks count="1" manualBreakCount="1">
    <brk id="63" max="9" man="1"/>
  </rowBreaks>
  <colBreaks count="1" manualBreakCount="1">
    <brk id="10" max="1048575" man="1"/>
  </colBreaks>
  <drawing r:id="rId3"/>
  <extLst>
    <ext xmlns:x14="http://schemas.microsoft.com/office/spreadsheetml/2009/9/main" uri="{CCE6A557-97BC-4b89-ADB6-D9C93CAAB3DF}">
      <x14:dataValidations xmlns:xm="http://schemas.microsoft.com/office/excel/2006/main" count="2">
        <x14:dataValidation type="list" allowBlank="1" showInputMessage="1" showErrorMessage="1" xr:uid="{1D28CFF4-CDB7-FA44-894E-6575F23D591F}">
          <x14:formula1>
            <xm:f>'Variety Data'!$B$17:$B$21</xm:f>
          </x14:formula1>
          <xm:sqref>E110</xm:sqref>
        </x14:dataValidation>
        <x14:dataValidation type="list" allowBlank="1" showInputMessage="1" showErrorMessage="1" xr:uid="{0B289CBB-D606-1644-9F6F-285E57D52A03}">
          <x14:formula1>
            <xm:f>'Variety Data'!$B$6:$B$21</xm:f>
          </x14:formula1>
          <xm:sqref>E82 E96 E65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F5E6F5-0C42-204A-A632-30E1B2BD9372}">
  <dimension ref="A1:P110"/>
  <sheetViews>
    <sheetView showGridLines="0" view="pageLayout" topLeftCell="A79" zoomScaleNormal="120" workbookViewId="0">
      <selection activeCell="B1" sqref="B1"/>
    </sheetView>
  </sheetViews>
  <sheetFormatPr defaultColWidth="10.81640625" defaultRowHeight="14.5"/>
  <cols>
    <col min="1" max="1" width="1" customWidth="1"/>
    <col min="2" max="2" width="5.1796875" style="2" customWidth="1"/>
    <col min="3" max="3" width="12.81640625" style="2" customWidth="1"/>
    <col min="4" max="4" width="5.7265625" style="2" customWidth="1"/>
    <col min="5" max="7" width="12.81640625" style="2" customWidth="1"/>
    <col min="8" max="8" width="5.1796875" style="2" customWidth="1"/>
    <col min="9" max="9" width="4.81640625" style="2" customWidth="1"/>
    <col min="10" max="10" width="8.81640625" style="2" customWidth="1"/>
    <col min="11" max="11" width="10.453125" style="2" customWidth="1"/>
    <col min="12" max="14" width="11.81640625" style="2" customWidth="1"/>
    <col min="15" max="15" width="4.81640625" style="2" customWidth="1"/>
    <col min="16" max="16" width="11.7265625" style="2" customWidth="1"/>
    <col min="17" max="17" width="5" style="2" bestFit="1" customWidth="1"/>
    <col min="18" max="18" width="10.453125" style="2" customWidth="1"/>
    <col min="19" max="19" width="10.81640625" style="2" customWidth="1"/>
    <col min="20" max="16384" width="10.81640625" style="2"/>
  </cols>
  <sheetData>
    <row r="1" spans="2:16" s="4" customFormat="1" ht="18" customHeight="1">
      <c r="B1" s="17" t="s">
        <v>259</v>
      </c>
      <c r="D1" s="5"/>
      <c r="E1" s="5"/>
      <c r="F1" s="5"/>
    </row>
    <row r="2" spans="2:16" s="4" customFormat="1" ht="16" customHeight="1">
      <c r="B2" s="6" t="s">
        <v>54</v>
      </c>
      <c r="D2" s="5"/>
      <c r="E2" s="5"/>
      <c r="F2" s="5"/>
    </row>
    <row r="3" spans="2:16" ht="9" customHeight="1"/>
    <row r="4" spans="2:16" ht="15.5">
      <c r="B4" s="151" t="s">
        <v>35</v>
      </c>
      <c r="C4" s="152" t="str">
        <f>IF(ISBLANK('1. Inputs'!C4)=TRUE,"",'1. Inputs'!C4)</f>
        <v/>
      </c>
      <c r="D4" s="143"/>
      <c r="E4" s="153"/>
      <c r="F4" s="154"/>
      <c r="G4" s="154"/>
      <c r="H4" s="154"/>
      <c r="I4" s="155" t="s">
        <v>77</v>
      </c>
      <c r="J4" s="156">
        <f>'1. Inputs'!F13</f>
        <v>110</v>
      </c>
      <c r="K4" s="143" t="s">
        <v>76</v>
      </c>
      <c r="L4" s="143"/>
      <c r="N4" s="7"/>
      <c r="O4" s="7"/>
      <c r="P4" s="7"/>
    </row>
    <row r="5" spans="2:16" ht="15.5">
      <c r="B5" s="157" t="s">
        <v>36</v>
      </c>
      <c r="C5" s="152" t="str">
        <f>IF(ISBLANK('1. Inputs'!C5)=TRUE,"",'1. Inputs'!C5)</f>
        <v/>
      </c>
      <c r="D5" s="143"/>
      <c r="E5" s="153"/>
      <c r="F5" s="154"/>
      <c r="G5" s="154"/>
      <c r="H5" s="154"/>
      <c r="I5" s="155" t="s">
        <v>78</v>
      </c>
      <c r="J5" s="158">
        <f>'1. Inputs'!H23</f>
        <v>33.255000000000003</v>
      </c>
      <c r="K5" s="143" t="s">
        <v>89</v>
      </c>
      <c r="L5" s="143"/>
      <c r="N5" s="7"/>
      <c r="O5" s="7"/>
      <c r="P5" s="7"/>
    </row>
    <row r="6" spans="2:16" ht="9" customHeight="1"/>
    <row r="7" spans="2:16" ht="16" customHeight="1">
      <c r="B7" s="6" t="s">
        <v>75</v>
      </c>
      <c r="G7" s="8" t="str">
        <f>"VARIETY:  "&amp;UPPER('1. Inputs'!C6)</f>
        <v xml:space="preserve">VARIETY:  </v>
      </c>
    </row>
    <row r="8" spans="2:16" ht="29">
      <c r="B8" s="35" t="s">
        <v>6</v>
      </c>
      <c r="C8" s="35" t="s">
        <v>10</v>
      </c>
      <c r="D8" s="36" t="s">
        <v>4</v>
      </c>
      <c r="E8" s="35" t="s">
        <v>11</v>
      </c>
      <c r="F8" s="36" t="s">
        <v>37</v>
      </c>
      <c r="G8" s="36" t="s">
        <v>47</v>
      </c>
    </row>
    <row r="9" spans="2:16">
      <c r="B9" s="10" t="s">
        <v>66</v>
      </c>
      <c r="C9" s="11">
        <f>SUM('1. Inputs'!F31:F47)*-1</f>
        <v>-3720</v>
      </c>
      <c r="D9" s="12">
        <f>J4</f>
        <v>110</v>
      </c>
      <c r="E9" s="11">
        <f t="shared" ref="E9:E18" si="0">D9*$J$5</f>
        <v>3658.05</v>
      </c>
      <c r="F9" s="11">
        <f>E9+C9</f>
        <v>-61.949999999999818</v>
      </c>
      <c r="G9" s="11">
        <f>F9</f>
        <v>-61.949999999999818</v>
      </c>
    </row>
    <row r="10" spans="2:16">
      <c r="B10" s="10" t="s">
        <v>57</v>
      </c>
      <c r="C10" s="11">
        <f>SUM('1. Inputs'!F31:F47)*-1</f>
        <v>-3720</v>
      </c>
      <c r="D10" s="12">
        <f>J4</f>
        <v>110</v>
      </c>
      <c r="E10" s="11">
        <f t="shared" si="0"/>
        <v>3658.05</v>
      </c>
      <c r="F10" s="11">
        <f t="shared" ref="F10:F18" si="1">E10+C10</f>
        <v>-61.949999999999818</v>
      </c>
      <c r="G10" s="11">
        <f>F10+G9</f>
        <v>-123.89999999999964</v>
      </c>
    </row>
    <row r="11" spans="2:16">
      <c r="B11" s="10" t="s">
        <v>58</v>
      </c>
      <c r="C11" s="11">
        <f>SUM('1. Inputs'!F31:F47)*-1</f>
        <v>-3720</v>
      </c>
      <c r="D11" s="12">
        <f>J4</f>
        <v>110</v>
      </c>
      <c r="E11" s="11">
        <f t="shared" si="0"/>
        <v>3658.05</v>
      </c>
      <c r="F11" s="11">
        <f t="shared" si="1"/>
        <v>-61.949999999999818</v>
      </c>
      <c r="G11" s="11">
        <f>F11+G10</f>
        <v>-185.84999999999945</v>
      </c>
    </row>
    <row r="12" spans="2:16">
      <c r="B12" s="10" t="s">
        <v>59</v>
      </c>
      <c r="C12" s="11">
        <f>SUM('1. Inputs'!F31:F47)*-1</f>
        <v>-3720</v>
      </c>
      <c r="D12" s="12">
        <f>J4</f>
        <v>110</v>
      </c>
      <c r="E12" s="11">
        <f t="shared" si="0"/>
        <v>3658.05</v>
      </c>
      <c r="F12" s="11">
        <f t="shared" si="1"/>
        <v>-61.949999999999818</v>
      </c>
      <c r="G12" s="11">
        <f t="shared" ref="G12:G18" si="2">F12+G11</f>
        <v>-247.79999999999927</v>
      </c>
    </row>
    <row r="13" spans="2:16">
      <c r="B13" s="10" t="s">
        <v>60</v>
      </c>
      <c r="C13" s="11">
        <f>SUM('1. Inputs'!F31:F47)*-1</f>
        <v>-3720</v>
      </c>
      <c r="D13" s="12">
        <f>J4</f>
        <v>110</v>
      </c>
      <c r="E13" s="11">
        <f t="shared" si="0"/>
        <v>3658.05</v>
      </c>
      <c r="F13" s="11">
        <f t="shared" si="1"/>
        <v>-61.949999999999818</v>
      </c>
      <c r="G13" s="11">
        <f t="shared" si="2"/>
        <v>-309.74999999999909</v>
      </c>
    </row>
    <row r="14" spans="2:16">
      <c r="B14" s="10" t="s">
        <v>61</v>
      </c>
      <c r="C14" s="11">
        <f>SUM('1. Inputs'!F31:F47)*-1</f>
        <v>-3720</v>
      </c>
      <c r="D14" s="12">
        <f>J4</f>
        <v>110</v>
      </c>
      <c r="E14" s="11">
        <f t="shared" si="0"/>
        <v>3658.05</v>
      </c>
      <c r="F14" s="11">
        <f t="shared" si="1"/>
        <v>-61.949999999999818</v>
      </c>
      <c r="G14" s="11">
        <f t="shared" si="2"/>
        <v>-371.69999999999891</v>
      </c>
    </row>
    <row r="15" spans="2:16">
      <c r="B15" s="10" t="s">
        <v>62</v>
      </c>
      <c r="C15" s="11">
        <f>SUM('1. Inputs'!F31:F47)*-1</f>
        <v>-3720</v>
      </c>
      <c r="D15" s="12">
        <f>J4</f>
        <v>110</v>
      </c>
      <c r="E15" s="11">
        <f t="shared" si="0"/>
        <v>3658.05</v>
      </c>
      <c r="F15" s="11">
        <f t="shared" si="1"/>
        <v>-61.949999999999818</v>
      </c>
      <c r="G15" s="11">
        <f t="shared" si="2"/>
        <v>-433.64999999999873</v>
      </c>
    </row>
    <row r="16" spans="2:16">
      <c r="B16" s="10" t="s">
        <v>63</v>
      </c>
      <c r="C16" s="11">
        <f>SUM('1. Inputs'!F31:F47)*-1</f>
        <v>-3720</v>
      </c>
      <c r="D16" s="12">
        <f>J4</f>
        <v>110</v>
      </c>
      <c r="E16" s="11">
        <f t="shared" si="0"/>
        <v>3658.05</v>
      </c>
      <c r="F16" s="11">
        <f t="shared" si="1"/>
        <v>-61.949999999999818</v>
      </c>
      <c r="G16" s="11">
        <f t="shared" si="2"/>
        <v>-495.59999999999854</v>
      </c>
    </row>
    <row r="17" spans="2:7">
      <c r="B17" s="10" t="s">
        <v>64</v>
      </c>
      <c r="C17" s="11">
        <f>SUM('1. Inputs'!F31:F47)*-1</f>
        <v>-3720</v>
      </c>
      <c r="D17" s="12">
        <f>J4</f>
        <v>110</v>
      </c>
      <c r="E17" s="11">
        <f t="shared" si="0"/>
        <v>3658.05</v>
      </c>
      <c r="F17" s="11">
        <f t="shared" si="1"/>
        <v>-61.949999999999818</v>
      </c>
      <c r="G17" s="11">
        <f t="shared" si="2"/>
        <v>-557.54999999999836</v>
      </c>
    </row>
    <row r="18" spans="2:7">
      <c r="B18" s="10" t="s">
        <v>65</v>
      </c>
      <c r="C18" s="11">
        <f>SUM('1. Inputs'!F31:F47)*-1</f>
        <v>-3720</v>
      </c>
      <c r="D18" s="12">
        <f>J4</f>
        <v>110</v>
      </c>
      <c r="E18" s="11">
        <f t="shared" si="0"/>
        <v>3658.05</v>
      </c>
      <c r="F18" s="11">
        <f t="shared" si="1"/>
        <v>-61.949999999999818</v>
      </c>
      <c r="G18" s="11">
        <f t="shared" si="2"/>
        <v>-619.49999999999818</v>
      </c>
    </row>
    <row r="19" spans="2:7">
      <c r="B19" s="9" t="s">
        <v>31</v>
      </c>
      <c r="C19" s="13">
        <f>SUM(C9:C18)</f>
        <v>-37200</v>
      </c>
      <c r="D19" s="14"/>
      <c r="E19" s="13">
        <f>SUM(E9:E18)</f>
        <v>36580.5</v>
      </c>
      <c r="F19" s="13">
        <f>SUM(F9:F18)</f>
        <v>-619.49999999999818</v>
      </c>
      <c r="G19" s="13">
        <f>G18</f>
        <v>-619.49999999999818</v>
      </c>
    </row>
    <row r="20" spans="2:7" ht="4" customHeight="1" thickBot="1"/>
    <row r="21" spans="2:7" ht="18" customHeight="1" thickBot="1">
      <c r="B21" s="37" t="s">
        <v>107</v>
      </c>
      <c r="C21" s="38"/>
      <c r="D21" s="39">
        <f>ABS(C9/J5)</f>
        <v>111.86287776274244</v>
      </c>
    </row>
    <row r="22" spans="2:7" ht="18" customHeight="1"/>
    <row r="23" spans="2:7" ht="16" customHeight="1">
      <c r="B23" s="6" t="s">
        <v>27</v>
      </c>
    </row>
    <row r="24" spans="2:7">
      <c r="B24" s="15" t="s">
        <v>43</v>
      </c>
      <c r="G24" s="8" t="str">
        <f>"VARIETY:  "&amp;UPPER('1. Inputs'!C6)</f>
        <v xml:space="preserve">VARIETY:  </v>
      </c>
    </row>
    <row r="25" spans="2:7" ht="29">
      <c r="B25" s="35" t="s">
        <v>6</v>
      </c>
      <c r="C25" s="35" t="s">
        <v>10</v>
      </c>
      <c r="D25" s="36" t="s">
        <v>4</v>
      </c>
      <c r="E25" s="35" t="s">
        <v>11</v>
      </c>
      <c r="F25" s="36" t="s">
        <v>37</v>
      </c>
      <c r="G25" s="36" t="s">
        <v>47</v>
      </c>
    </row>
    <row r="26" spans="2:7">
      <c r="B26" s="10" t="s">
        <v>66</v>
      </c>
      <c r="C26" s="11">
        <f>SUM('1. Inputs'!F53:F53,'1. Inputs'!F31,'1. Inputs'!F33,'1. Inputs'!F34,'1. Inputs'!F36:F47,('1. Inputs'!F35*1.2),('1. Inputs'!F32*1.2), '1. Inputs'!F54:F55)*-1</f>
        <v>-5900</v>
      </c>
      <c r="D26" s="12">
        <f>J4*0.5</f>
        <v>55</v>
      </c>
      <c r="E26" s="11">
        <f t="shared" ref="E26:E35" si="3">D26*$J$5</f>
        <v>1829.0250000000001</v>
      </c>
      <c r="F26" s="11">
        <f>E26+C26</f>
        <v>-4070.9749999999999</v>
      </c>
      <c r="G26" s="11">
        <f>F26</f>
        <v>-4070.9749999999999</v>
      </c>
    </row>
    <row r="27" spans="2:7">
      <c r="B27" s="10" t="s">
        <v>57</v>
      </c>
      <c r="C27" s="11">
        <f>SUM('1. Inputs'!F31,'1. Inputs'!F33,'1. Inputs'!F34,'1. Inputs'!F36:F47,('1. Inputs'!F35*1.2),('1. Inputs'!F32*1.2))*-1</f>
        <v>-3900</v>
      </c>
      <c r="D27" s="12">
        <f>J4*1.35</f>
        <v>148.5</v>
      </c>
      <c r="E27" s="11">
        <f t="shared" si="3"/>
        <v>4938.3675000000003</v>
      </c>
      <c r="F27" s="11">
        <f t="shared" ref="F27:F35" si="4">E27+C27</f>
        <v>1038.3675000000003</v>
      </c>
      <c r="G27" s="11">
        <f>F27+G26</f>
        <v>-3032.6074999999996</v>
      </c>
    </row>
    <row r="28" spans="2:7">
      <c r="B28" s="10" t="s">
        <v>58</v>
      </c>
      <c r="C28" s="11">
        <f>SUM('1. Inputs'!F31,'1. Inputs'!F33,'1. Inputs'!F34,'1. Inputs'!F36:F47,('1. Inputs'!F35*1.2),('1. Inputs'!F32*1.2))*-1</f>
        <v>-3900</v>
      </c>
      <c r="D28" s="12">
        <f>J4*1.25</f>
        <v>137.5</v>
      </c>
      <c r="E28" s="11">
        <f t="shared" si="3"/>
        <v>4572.5625</v>
      </c>
      <c r="F28" s="11">
        <f t="shared" si="4"/>
        <v>672.5625</v>
      </c>
      <c r="G28" s="11">
        <f>F28+G27</f>
        <v>-2360.0449999999996</v>
      </c>
    </row>
    <row r="29" spans="2:7">
      <c r="B29" s="10" t="s">
        <v>59</v>
      </c>
      <c r="C29" s="11">
        <f>SUM('1. Inputs'!F31:F47)*-1</f>
        <v>-3720</v>
      </c>
      <c r="D29" s="12">
        <f>J4*1.25</f>
        <v>137.5</v>
      </c>
      <c r="E29" s="11">
        <f t="shared" si="3"/>
        <v>4572.5625</v>
      </c>
      <c r="F29" s="11">
        <f t="shared" si="4"/>
        <v>852.5625</v>
      </c>
      <c r="G29" s="11">
        <f t="shared" ref="G29:G35" si="5">F29+G28</f>
        <v>-1507.4824999999996</v>
      </c>
    </row>
    <row r="30" spans="2:7">
      <c r="B30" s="10" t="s">
        <v>60</v>
      </c>
      <c r="C30" s="11">
        <f>SUM('1. Inputs'!F31:F47)*-1</f>
        <v>-3720</v>
      </c>
      <c r="D30" s="12">
        <f>J4*1.25</f>
        <v>137.5</v>
      </c>
      <c r="E30" s="11">
        <f t="shared" si="3"/>
        <v>4572.5625</v>
      </c>
      <c r="F30" s="11">
        <f t="shared" si="4"/>
        <v>852.5625</v>
      </c>
      <c r="G30" s="11">
        <f t="shared" si="5"/>
        <v>-654.91999999999962</v>
      </c>
    </row>
    <row r="31" spans="2:7">
      <c r="B31" s="10" t="s">
        <v>61</v>
      </c>
      <c r="C31" s="11">
        <f>SUM('1. Inputs'!F53:F53,'1. Inputs'!F31,'1. Inputs'!F33,'1. Inputs'!F34,'1. Inputs'!F36:F47,('1. Inputs'!F35*1.2),('1. Inputs'!F32*1.2))*-1</f>
        <v>-5900</v>
      </c>
      <c r="D31" s="12">
        <f>D30*0.5</f>
        <v>68.75</v>
      </c>
      <c r="E31" s="11">
        <f t="shared" si="3"/>
        <v>2286.28125</v>
      </c>
      <c r="F31" s="11">
        <f t="shared" si="4"/>
        <v>-3613.71875</v>
      </c>
      <c r="G31" s="11">
        <f>F31+G30</f>
        <v>-4268.6387500000001</v>
      </c>
    </row>
    <row r="32" spans="2:7">
      <c r="B32" s="10" t="s">
        <v>62</v>
      </c>
      <c r="C32" s="11">
        <f>SUM('1. Inputs'!F31,'1. Inputs'!F33,'1. Inputs'!F34,'1. Inputs'!F36:F47,('1. Inputs'!F35*1.2),('1. Inputs'!F32*1.2))*-1</f>
        <v>-3900</v>
      </c>
      <c r="D32" s="12">
        <f>D30*1.35</f>
        <v>185.625</v>
      </c>
      <c r="E32" s="11">
        <f t="shared" si="3"/>
        <v>6172.9593750000004</v>
      </c>
      <c r="F32" s="11">
        <f t="shared" si="4"/>
        <v>2272.9593750000004</v>
      </c>
      <c r="G32" s="11">
        <f t="shared" si="5"/>
        <v>-1995.6793749999997</v>
      </c>
    </row>
    <row r="33" spans="2:7">
      <c r="B33" s="10" t="s">
        <v>63</v>
      </c>
      <c r="C33" s="11">
        <f>SUM('1. Inputs'!F31,'1. Inputs'!F33,'1. Inputs'!F34,'1. Inputs'!F36:F47,('1. Inputs'!F35*1.2),('1. Inputs'!F32*1.2))*-1</f>
        <v>-3900</v>
      </c>
      <c r="D33" s="12">
        <f>D30*1.25</f>
        <v>171.875</v>
      </c>
      <c r="E33" s="11">
        <f t="shared" si="3"/>
        <v>5715.703125</v>
      </c>
      <c r="F33" s="11">
        <f t="shared" si="4"/>
        <v>1815.703125</v>
      </c>
      <c r="G33" s="11">
        <f t="shared" si="5"/>
        <v>-179.97624999999971</v>
      </c>
    </row>
    <row r="34" spans="2:7">
      <c r="B34" s="10" t="s">
        <v>64</v>
      </c>
      <c r="C34" s="11">
        <f>SUM('1. Inputs'!F31:F47)*-1</f>
        <v>-3720</v>
      </c>
      <c r="D34" s="12">
        <f>D30*1.25</f>
        <v>171.875</v>
      </c>
      <c r="E34" s="11">
        <f t="shared" si="3"/>
        <v>5715.703125</v>
      </c>
      <c r="F34" s="11">
        <f t="shared" si="4"/>
        <v>1995.703125</v>
      </c>
      <c r="G34" s="11">
        <f t="shared" si="5"/>
        <v>1815.7268750000003</v>
      </c>
    </row>
    <row r="35" spans="2:7">
      <c r="B35" s="10" t="s">
        <v>65</v>
      </c>
      <c r="C35" s="11">
        <f>SUM('1. Inputs'!F31:F47)*-1</f>
        <v>-3720</v>
      </c>
      <c r="D35" s="12">
        <f>D30*1.25</f>
        <v>171.875</v>
      </c>
      <c r="E35" s="11">
        <f t="shared" si="3"/>
        <v>5715.703125</v>
      </c>
      <c r="F35" s="11">
        <f t="shared" si="4"/>
        <v>1995.703125</v>
      </c>
      <c r="G35" s="11">
        <f t="shared" si="5"/>
        <v>3811.4300000000003</v>
      </c>
    </row>
    <row r="36" spans="2:7">
      <c r="B36" s="9" t="s">
        <v>31</v>
      </c>
      <c r="C36" s="13">
        <f>SUM(C26:C35)</f>
        <v>-42280</v>
      </c>
      <c r="D36" s="14"/>
      <c r="E36" s="13">
        <f>SUM(E26:E35)</f>
        <v>46091.43</v>
      </c>
      <c r="F36" s="13">
        <f>SUM(F26:F35)</f>
        <v>3811.4300000000003</v>
      </c>
      <c r="G36" s="13">
        <f>G35</f>
        <v>3811.4300000000003</v>
      </c>
    </row>
    <row r="38" spans="2:7">
      <c r="B38" s="1" t="s">
        <v>44</v>
      </c>
      <c r="G38" s="8" t="str">
        <f>"VARIETY:  "&amp;UPPER('1. Inputs'!C6)</f>
        <v xml:space="preserve">VARIETY:  </v>
      </c>
    </row>
    <row r="39" spans="2:7" ht="29">
      <c r="B39" s="35" t="s">
        <v>6</v>
      </c>
      <c r="C39" s="35" t="s">
        <v>10</v>
      </c>
      <c r="D39" s="36" t="s">
        <v>4</v>
      </c>
      <c r="E39" s="35" t="s">
        <v>11</v>
      </c>
      <c r="F39" s="36" t="s">
        <v>37</v>
      </c>
      <c r="G39" s="36" t="s">
        <v>47</v>
      </c>
    </row>
    <row r="40" spans="2:7">
      <c r="B40" s="10" t="s">
        <v>66</v>
      </c>
      <c r="C40" s="11">
        <f>SUM('1. Inputs'!F59:F59,'1. Inputs'!F31,('1. Inputs'!F32*1.2),'1. Inputs'!F33:F34,('1. Inputs'!F35*1.2),'1. Inputs'!F37:F40,'1. Inputs'!F42, '1. Inputs'!F46:F47, '1. Inputs'!F60:F61)*-1</f>
        <v>-3830</v>
      </c>
      <c r="D40" s="12">
        <f>J4*0</f>
        <v>0</v>
      </c>
      <c r="E40" s="11">
        <f t="shared" ref="E40:E49" si="6">D40*$J$5</f>
        <v>0</v>
      </c>
      <c r="F40" s="11">
        <f>E40+C40</f>
        <v>-3830</v>
      </c>
      <c r="G40" s="11">
        <f>F40</f>
        <v>-3830</v>
      </c>
    </row>
    <row r="41" spans="2:7">
      <c r="B41" s="10" t="s">
        <v>57</v>
      </c>
      <c r="C41" s="11">
        <f>SUM('1. Inputs'!F31,('1. Inputs'!F32*1.2),'1. Inputs'!F33:F34,('1. Inputs'!F35*1.2),'1. Inputs'!F36:F42,'1. Inputs'!F44:F47)*-1</f>
        <v>-3800</v>
      </c>
      <c r="D41" s="12">
        <f>J4*0.5</f>
        <v>55</v>
      </c>
      <c r="E41" s="11">
        <f t="shared" si="6"/>
        <v>1829.0250000000001</v>
      </c>
      <c r="F41" s="11">
        <f t="shared" ref="F41:F49" si="7">E41+C41</f>
        <v>-1970.9749999999999</v>
      </c>
      <c r="G41" s="11">
        <f>F41+G40</f>
        <v>-5800.9750000000004</v>
      </c>
    </row>
    <row r="42" spans="2:7">
      <c r="B42" s="10" t="s">
        <v>58</v>
      </c>
      <c r="C42" s="11">
        <f>SUM('1. Inputs'!F31,('1. Inputs'!F32*1.2),'1. Inputs'!F33:F34,('1. Inputs'!F35*1.2),'1. Inputs'!F36:F47)*-1</f>
        <v>-3900</v>
      </c>
      <c r="D42" s="12">
        <f>J4*0.75</f>
        <v>82.5</v>
      </c>
      <c r="E42" s="11">
        <f t="shared" si="6"/>
        <v>2743.5375000000004</v>
      </c>
      <c r="F42" s="11">
        <f t="shared" si="7"/>
        <v>-1156.4624999999996</v>
      </c>
      <c r="G42" s="11">
        <f>F42+G41</f>
        <v>-6957.4375</v>
      </c>
    </row>
    <row r="43" spans="2:7">
      <c r="B43" s="10" t="s">
        <v>59</v>
      </c>
      <c r="C43" s="11">
        <f>SUM('1. Inputs'!F31:F47)*-1</f>
        <v>-3720</v>
      </c>
      <c r="D43" s="12">
        <f>J4*1</f>
        <v>110</v>
      </c>
      <c r="E43" s="11">
        <f t="shared" si="6"/>
        <v>3658.05</v>
      </c>
      <c r="F43" s="11">
        <f t="shared" si="7"/>
        <v>-61.949999999999818</v>
      </c>
      <c r="G43" s="11">
        <f t="shared" ref="G43:G49" si="8">F43+G42</f>
        <v>-7019.3874999999998</v>
      </c>
    </row>
    <row r="44" spans="2:7">
      <c r="B44" s="10" t="s">
        <v>60</v>
      </c>
      <c r="C44" s="11">
        <f>SUM('1. Inputs'!F31:F47)*-1</f>
        <v>-3720</v>
      </c>
      <c r="D44" s="12">
        <f>J4*1</f>
        <v>110</v>
      </c>
      <c r="E44" s="11">
        <f t="shared" si="6"/>
        <v>3658.05</v>
      </c>
      <c r="F44" s="11">
        <f t="shared" si="7"/>
        <v>-61.949999999999818</v>
      </c>
      <c r="G44" s="11">
        <f t="shared" si="8"/>
        <v>-7081.3374999999996</v>
      </c>
    </row>
    <row r="45" spans="2:7">
      <c r="B45" s="10" t="s">
        <v>61</v>
      </c>
      <c r="C45" s="11">
        <f>SUM('1. Inputs'!F31:F47)*-1</f>
        <v>-3720</v>
      </c>
      <c r="D45" s="12">
        <f>J4*1</f>
        <v>110</v>
      </c>
      <c r="E45" s="11">
        <f t="shared" si="6"/>
        <v>3658.05</v>
      </c>
      <c r="F45" s="11">
        <f t="shared" si="7"/>
        <v>-61.949999999999818</v>
      </c>
      <c r="G45" s="11">
        <f t="shared" si="8"/>
        <v>-7143.2874999999995</v>
      </c>
    </row>
    <row r="46" spans="2:7">
      <c r="B46" s="10" t="s">
        <v>62</v>
      </c>
      <c r="C46" s="11">
        <f>SUM('1. Inputs'!F31:F47)*-1</f>
        <v>-3720</v>
      </c>
      <c r="D46" s="12">
        <f>J4*1</f>
        <v>110</v>
      </c>
      <c r="E46" s="11">
        <f t="shared" si="6"/>
        <v>3658.05</v>
      </c>
      <c r="F46" s="11">
        <f t="shared" si="7"/>
        <v>-61.949999999999818</v>
      </c>
      <c r="G46" s="11">
        <f t="shared" si="8"/>
        <v>-7205.2374999999993</v>
      </c>
    </row>
    <row r="47" spans="2:7">
      <c r="B47" s="10" t="s">
        <v>63</v>
      </c>
      <c r="C47" s="11">
        <f>SUM('1. Inputs'!F31:F47)*-1</f>
        <v>-3720</v>
      </c>
      <c r="D47" s="12">
        <f>J4*1</f>
        <v>110</v>
      </c>
      <c r="E47" s="11">
        <f t="shared" si="6"/>
        <v>3658.05</v>
      </c>
      <c r="F47" s="11">
        <f t="shared" si="7"/>
        <v>-61.949999999999818</v>
      </c>
      <c r="G47" s="11">
        <f t="shared" si="8"/>
        <v>-7267.1874999999991</v>
      </c>
    </row>
    <row r="48" spans="2:7">
      <c r="B48" s="10" t="s">
        <v>64</v>
      </c>
      <c r="C48" s="11">
        <f>SUM('1. Inputs'!F31:F47)*-1</f>
        <v>-3720</v>
      </c>
      <c r="D48" s="12">
        <f>J4*1</f>
        <v>110</v>
      </c>
      <c r="E48" s="11">
        <f t="shared" si="6"/>
        <v>3658.05</v>
      </c>
      <c r="F48" s="11">
        <f t="shared" si="7"/>
        <v>-61.949999999999818</v>
      </c>
      <c r="G48" s="11">
        <f t="shared" si="8"/>
        <v>-7329.1374999999989</v>
      </c>
    </row>
    <row r="49" spans="2:7">
      <c r="B49" s="10" t="s">
        <v>65</v>
      </c>
      <c r="C49" s="11">
        <f>SUM('1. Inputs'!F31:F47)*-1</f>
        <v>-3720</v>
      </c>
      <c r="D49" s="12">
        <f>J4*1</f>
        <v>110</v>
      </c>
      <c r="E49" s="11">
        <f t="shared" si="6"/>
        <v>3658.05</v>
      </c>
      <c r="F49" s="11">
        <f t="shared" si="7"/>
        <v>-61.949999999999818</v>
      </c>
      <c r="G49" s="11">
        <f t="shared" si="8"/>
        <v>-7391.0874999999987</v>
      </c>
    </row>
    <row r="50" spans="2:7">
      <c r="B50" s="9" t="s">
        <v>31</v>
      </c>
      <c r="C50" s="13">
        <f>SUM(C40:C49)</f>
        <v>-37570</v>
      </c>
      <c r="D50" s="9"/>
      <c r="E50" s="13">
        <f>SUM(E40:E49)</f>
        <v>30178.912499999995</v>
      </c>
      <c r="F50" s="13">
        <f>SUM(F40:F49)</f>
        <v>-7391.0874999999987</v>
      </c>
      <c r="G50" s="13">
        <f>G49</f>
        <v>-7391.0874999999987</v>
      </c>
    </row>
    <row r="52" spans="2:7" ht="16" customHeight="1">
      <c r="B52" s="6" t="s">
        <v>28</v>
      </c>
    </row>
    <row r="53" spans="2:7">
      <c r="B53" s="1" t="s">
        <v>45</v>
      </c>
      <c r="F53" s="1"/>
      <c r="G53" s="8" t="str">
        <f>"VARIETY:  "&amp;'1. Inputs'!E65</f>
        <v>VARIETY:  MULLICA QUEEN</v>
      </c>
    </row>
    <row r="54" spans="2:7" ht="29">
      <c r="B54" s="35" t="s">
        <v>6</v>
      </c>
      <c r="C54" s="35" t="s">
        <v>10</v>
      </c>
      <c r="D54" s="36" t="s">
        <v>4</v>
      </c>
      <c r="E54" s="35" t="s">
        <v>11</v>
      </c>
      <c r="F54" s="36" t="s">
        <v>37</v>
      </c>
      <c r="G54" s="36" t="s">
        <v>47</v>
      </c>
    </row>
    <row r="55" spans="2:7">
      <c r="B55" s="10" t="s">
        <v>66</v>
      </c>
      <c r="C55" s="11">
        <f>SUM('1. Inputs'!F71:F75, '1. Inputs'!F76:F79, '1. Inputs'!F31,('1. Inputs'!F32*1.2), '1. Inputs'!F33:F34,('1. Inputs'!F35*1.2), '1. Inputs'!F37:F40,'1. Inputs'!F42,'1. Inputs'!F46:F47, (((('1. Inputs'!F68*(1-0))*'1. Inputs'!F69)*J5)/'1. Inputs'!F14)) * -1</f>
        <v>-15800.33</v>
      </c>
      <c r="D55" s="16">
        <f>VLOOKUP('1. Inputs'!E65,'Variety Data'!B6:Q21,2,FALSE)</f>
        <v>0</v>
      </c>
      <c r="E55" s="11">
        <f t="shared" ref="E55:E64" si="9">D55*$J$5</f>
        <v>0</v>
      </c>
      <c r="F55" s="11">
        <f t="shared" ref="F55:F64" si="10">E55+C55</f>
        <v>-15800.33</v>
      </c>
      <c r="G55" s="11">
        <f>F55</f>
        <v>-15800.33</v>
      </c>
    </row>
    <row r="56" spans="2:7">
      <c r="B56" s="10" t="s">
        <v>57</v>
      </c>
      <c r="C56" s="11">
        <f>SUM('1. Inputs'!F77,'1. Inputs'!F31,('1. Inputs'!F32*1.2),'1. Inputs'!F33:F34,('1. Inputs'!F35*1.2),'1. Inputs'!F36:F42,'1. Inputs'!F44:F47, (((('1. Inputs'!F68*(1-0.5))*'1. Inputs'!F69)*J5)/'1. Inputs'!F14)) * -1</f>
        <v>-5462.75</v>
      </c>
      <c r="D56" s="16">
        <f>VLOOKUP('1. Inputs'!E65,'Variety Data'!B6:Q21,3,FALSE)</f>
        <v>155</v>
      </c>
      <c r="E56" s="11">
        <f t="shared" si="9"/>
        <v>5154.5250000000005</v>
      </c>
      <c r="F56" s="11">
        <f t="shared" si="10"/>
        <v>-308.22499999999945</v>
      </c>
      <c r="G56" s="11">
        <f t="shared" ref="G56:G64" si="11">F56+G55</f>
        <v>-16108.555</v>
      </c>
    </row>
    <row r="57" spans="2:7">
      <c r="B57" s="10" t="s">
        <v>58</v>
      </c>
      <c r="C57" s="11">
        <f>SUM('1. Inputs'!F77,'1. Inputs'!F31,('1. Inputs'!F32*1.2), '1. Inputs'!F33:F34,('1. Inputs'!F35*1.2), '1. Inputs'!F36:F47, (((('1. Inputs'!F68*(1-0.75))*'1. Inputs'!F69)*J5)/'1. Inputs'!F14)) *-1</f>
        <v>-4731.375</v>
      </c>
      <c r="D57" s="16">
        <f>VLOOKUP('1. Inputs'!E65,'Variety Data'!B6:Q21,4,FALSE)</f>
        <v>400</v>
      </c>
      <c r="E57" s="11">
        <f t="shared" si="9"/>
        <v>13302.000000000002</v>
      </c>
      <c r="F57" s="11">
        <f t="shared" si="10"/>
        <v>8570.6250000000018</v>
      </c>
      <c r="G57" s="11">
        <f t="shared" si="11"/>
        <v>-7537.9299999999985</v>
      </c>
    </row>
    <row r="58" spans="2:7">
      <c r="B58" s="10" t="s">
        <v>59</v>
      </c>
      <c r="C58" s="11">
        <f>SUM('1. Inputs'!F77,'1. Inputs'!F31:F47)*-1</f>
        <v>-3720</v>
      </c>
      <c r="D58" s="16">
        <f>VLOOKUP('1. Inputs'!E65,'Variety Data'!B6:Q21,5,FALSE)</f>
        <v>400</v>
      </c>
      <c r="E58" s="11">
        <f t="shared" si="9"/>
        <v>13302.000000000002</v>
      </c>
      <c r="F58" s="11">
        <f t="shared" si="10"/>
        <v>9582.0000000000018</v>
      </c>
      <c r="G58" s="11">
        <f t="shared" si="11"/>
        <v>2044.0700000000033</v>
      </c>
    </row>
    <row r="59" spans="2:7">
      <c r="B59" s="10" t="s">
        <v>60</v>
      </c>
      <c r="C59" s="11">
        <f>SUM('1. Inputs'!F77,'1. Inputs'!F31:F47)*-1</f>
        <v>-3720</v>
      </c>
      <c r="D59" s="16">
        <f>VLOOKUP('1. Inputs'!E65,'Variety Data'!B6:Q21,6,FALSE)</f>
        <v>400</v>
      </c>
      <c r="E59" s="11">
        <f t="shared" si="9"/>
        <v>13302.000000000002</v>
      </c>
      <c r="F59" s="11">
        <f t="shared" si="10"/>
        <v>9582.0000000000018</v>
      </c>
      <c r="G59" s="11">
        <f t="shared" si="11"/>
        <v>11626.070000000005</v>
      </c>
    </row>
    <row r="60" spans="2:7">
      <c r="B60" s="10" t="s">
        <v>61</v>
      </c>
      <c r="C60" s="11">
        <f>SUM('1. Inputs'!F77,'1. Inputs'!F31:F47)*-1</f>
        <v>-3720</v>
      </c>
      <c r="D60" s="16">
        <f>VLOOKUP('1. Inputs'!E65,'Variety Data'!B6:Q21,7,FALSE)</f>
        <v>400</v>
      </c>
      <c r="E60" s="11">
        <f t="shared" si="9"/>
        <v>13302.000000000002</v>
      </c>
      <c r="F60" s="11">
        <f t="shared" si="10"/>
        <v>9582.0000000000018</v>
      </c>
      <c r="G60" s="11">
        <f t="shared" si="11"/>
        <v>21208.070000000007</v>
      </c>
    </row>
    <row r="61" spans="2:7">
      <c r="B61" s="10" t="s">
        <v>62</v>
      </c>
      <c r="C61" s="11">
        <f>SUM('1. Inputs'!F77,'1. Inputs'!F31:F47)*-1</f>
        <v>-3720</v>
      </c>
      <c r="D61" s="16">
        <f>VLOOKUP('1. Inputs'!E65,'Variety Data'!B6:Q21,8,FALSE)</f>
        <v>400</v>
      </c>
      <c r="E61" s="11">
        <f t="shared" si="9"/>
        <v>13302.000000000002</v>
      </c>
      <c r="F61" s="11">
        <f t="shared" si="10"/>
        <v>9582.0000000000018</v>
      </c>
      <c r="G61" s="11">
        <f t="shared" si="11"/>
        <v>30790.070000000007</v>
      </c>
    </row>
    <row r="62" spans="2:7">
      <c r="B62" s="10" t="s">
        <v>63</v>
      </c>
      <c r="C62" s="11">
        <f>SUM('1. Inputs'!F77,'1. Inputs'!F31:F47)*-1</f>
        <v>-3720</v>
      </c>
      <c r="D62" s="16">
        <f>VLOOKUP('1. Inputs'!E65,'Variety Data'!B6:Q21,9,FALSE)</f>
        <v>400</v>
      </c>
      <c r="E62" s="11">
        <f t="shared" si="9"/>
        <v>13302.000000000002</v>
      </c>
      <c r="F62" s="11">
        <f t="shared" si="10"/>
        <v>9582.0000000000018</v>
      </c>
      <c r="G62" s="11">
        <f t="shared" si="11"/>
        <v>40372.070000000007</v>
      </c>
    </row>
    <row r="63" spans="2:7">
      <c r="B63" s="10" t="s">
        <v>64</v>
      </c>
      <c r="C63" s="11">
        <f>SUM('1. Inputs'!F77,'1. Inputs'!F31:F47)*-1</f>
        <v>-3720</v>
      </c>
      <c r="D63" s="16">
        <f>VLOOKUP('1. Inputs'!E65,'Variety Data'!B6:Q21,10,FALSE)</f>
        <v>400</v>
      </c>
      <c r="E63" s="11">
        <f t="shared" si="9"/>
        <v>13302.000000000002</v>
      </c>
      <c r="F63" s="11">
        <f t="shared" si="10"/>
        <v>9582.0000000000018</v>
      </c>
      <c r="G63" s="11">
        <f t="shared" si="11"/>
        <v>49954.070000000007</v>
      </c>
    </row>
    <row r="64" spans="2:7">
      <c r="B64" s="10" t="s">
        <v>65</v>
      </c>
      <c r="C64" s="11">
        <f>SUM('1. Inputs'!F77,'1. Inputs'!F31:F47)*-1</f>
        <v>-3720</v>
      </c>
      <c r="D64" s="16">
        <f>VLOOKUP('1. Inputs'!E65,'Variety Data'!B6:Q21,11,FALSE)</f>
        <v>400</v>
      </c>
      <c r="E64" s="11">
        <f t="shared" si="9"/>
        <v>13302.000000000002</v>
      </c>
      <c r="F64" s="11">
        <f t="shared" si="10"/>
        <v>9582.0000000000018</v>
      </c>
      <c r="G64" s="11">
        <f t="shared" si="11"/>
        <v>59536.070000000007</v>
      </c>
    </row>
    <row r="65" spans="2:7">
      <c r="B65" s="9" t="s">
        <v>31</v>
      </c>
      <c r="C65" s="13">
        <f>SUM(C55:C64)</f>
        <v>-52034.455000000002</v>
      </c>
      <c r="D65" s="14"/>
      <c r="E65" s="13">
        <f>SUM(E55:E64)</f>
        <v>111570.52500000001</v>
      </c>
      <c r="F65" s="13">
        <f>SUM(F55:F64)</f>
        <v>59536.070000000007</v>
      </c>
      <c r="G65" s="13">
        <f>G64</f>
        <v>59536.070000000007</v>
      </c>
    </row>
    <row r="68" spans="2:7">
      <c r="B68" s="1" t="s">
        <v>46</v>
      </c>
      <c r="F68" s="1"/>
      <c r="G68" s="8" t="str">
        <f>"VARIETY:  "&amp;'1. Inputs'!E82</f>
        <v>VARIETY:  99-25</v>
      </c>
    </row>
    <row r="69" spans="2:7" ht="29">
      <c r="B69" s="35" t="s">
        <v>6</v>
      </c>
      <c r="C69" s="35" t="s">
        <v>10</v>
      </c>
      <c r="D69" s="36" t="s">
        <v>4</v>
      </c>
      <c r="E69" s="35" t="s">
        <v>11</v>
      </c>
      <c r="F69" s="36" t="s">
        <v>37</v>
      </c>
      <c r="G69" s="36" t="s">
        <v>47</v>
      </c>
    </row>
    <row r="70" spans="2:7">
      <c r="B70" s="10" t="s">
        <v>66</v>
      </c>
      <c r="C70" s="11">
        <f>SUM('1. Inputs'!F85:F90,'1. Inputs'!F91:F91,'1. Inputs'!F31,('1. Inputs'!F32*1.2),'1. Inputs'!F33:F34,('1. Inputs'!F35*1.2),'1. Inputs'!F37:F40,'1. Inputs'!F42, '1. Inputs'!F46:F47, '1. Inputs'!F93:F94)*-1</f>
        <v>-27806.560000000001</v>
      </c>
      <c r="D70" s="16">
        <f>VLOOKUP('1. Inputs'!E82,'Variety Data'!B6:Q21,2,FALSE)</f>
        <v>0</v>
      </c>
      <c r="E70" s="11">
        <f t="shared" ref="E70:E79" si="12">D70*$J$5</f>
        <v>0</v>
      </c>
      <c r="F70" s="11">
        <f>E70+C70</f>
        <v>-27806.560000000001</v>
      </c>
      <c r="G70" s="11">
        <f>F70</f>
        <v>-27806.560000000001</v>
      </c>
    </row>
    <row r="71" spans="2:7">
      <c r="B71" s="10" t="s">
        <v>57</v>
      </c>
      <c r="C71" s="11">
        <f>SUM('1. Inputs'!F92,'1. Inputs'!F31,('1. Inputs'!F32*1.2),'1. Inputs'!F33:F34,('1. Inputs'!F35*1.2),'1. Inputs'!F36:F42,'1. Inputs'!F44:F47)*-1</f>
        <v>-3800</v>
      </c>
      <c r="D71" s="16">
        <f>VLOOKUP('1. Inputs'!E82,'Variety Data'!B6:Q21,3,FALSE)</f>
        <v>300</v>
      </c>
      <c r="E71" s="11">
        <f t="shared" si="12"/>
        <v>9976.5</v>
      </c>
      <c r="F71" s="11">
        <f t="shared" ref="F71:F79" si="13">E71+C71</f>
        <v>6176.5</v>
      </c>
      <c r="G71" s="11">
        <f>F71+G70</f>
        <v>-21630.06</v>
      </c>
    </row>
    <row r="72" spans="2:7">
      <c r="B72" s="10" t="s">
        <v>58</v>
      </c>
      <c r="C72" s="11">
        <f>SUM('1. Inputs'!F92,'1. Inputs'!F31,('1. Inputs'!F32*1.2),'1. Inputs'!F33:F34,('1. Inputs'!F35*1.2),'1. Inputs'!F36:F47)*-1</f>
        <v>-3900</v>
      </c>
      <c r="D72" s="16">
        <f>VLOOKUP('1. Inputs'!E82,'Variety Data'!B6:Q21,4,FALSE)</f>
        <v>350</v>
      </c>
      <c r="E72" s="11">
        <f t="shared" si="12"/>
        <v>11639.25</v>
      </c>
      <c r="F72" s="11">
        <f t="shared" si="13"/>
        <v>7739.25</v>
      </c>
      <c r="G72" s="11">
        <f>F72+G71</f>
        <v>-13890.810000000001</v>
      </c>
    </row>
    <row r="73" spans="2:7">
      <c r="B73" s="10" t="s">
        <v>59</v>
      </c>
      <c r="C73" s="11">
        <f>SUM('1. Inputs'!F92,'1. Inputs'!F31:F47)*-1</f>
        <v>-3720</v>
      </c>
      <c r="D73" s="16">
        <f>VLOOKUP('1. Inputs'!E82,'Variety Data'!B6:Q21,5,FALSE)</f>
        <v>425</v>
      </c>
      <c r="E73" s="11">
        <f t="shared" si="12"/>
        <v>14133.375000000002</v>
      </c>
      <c r="F73" s="11">
        <f t="shared" si="13"/>
        <v>10413.375000000002</v>
      </c>
      <c r="G73" s="11">
        <f t="shared" ref="G73:G79" si="14">F73+G72</f>
        <v>-3477.4349999999995</v>
      </c>
    </row>
    <row r="74" spans="2:7">
      <c r="B74" s="10" t="s">
        <v>60</v>
      </c>
      <c r="C74" s="11">
        <f>SUM('1. Inputs'!F92,'1. Inputs'!F31:F47)*-1</f>
        <v>-3720</v>
      </c>
      <c r="D74" s="16">
        <f>VLOOKUP('1. Inputs'!E82,'Variety Data'!B6:Q21,6,FALSE)</f>
        <v>425</v>
      </c>
      <c r="E74" s="11">
        <f t="shared" si="12"/>
        <v>14133.375000000002</v>
      </c>
      <c r="F74" s="11">
        <f t="shared" si="13"/>
        <v>10413.375000000002</v>
      </c>
      <c r="G74" s="11">
        <f t="shared" si="14"/>
        <v>6935.9400000000023</v>
      </c>
    </row>
    <row r="75" spans="2:7">
      <c r="B75" s="10" t="s">
        <v>61</v>
      </c>
      <c r="C75" s="11">
        <f>SUM('1. Inputs'!F92,'1. Inputs'!F31:F47)*-1</f>
        <v>-3720</v>
      </c>
      <c r="D75" s="16">
        <f>VLOOKUP('1. Inputs'!E82,'Variety Data'!B6:Q21,7,FALSE)</f>
        <v>425</v>
      </c>
      <c r="E75" s="11">
        <f t="shared" si="12"/>
        <v>14133.375000000002</v>
      </c>
      <c r="F75" s="11">
        <f t="shared" si="13"/>
        <v>10413.375000000002</v>
      </c>
      <c r="G75" s="11">
        <f t="shared" si="14"/>
        <v>17349.315000000002</v>
      </c>
    </row>
    <row r="76" spans="2:7">
      <c r="B76" s="10" t="s">
        <v>62</v>
      </c>
      <c r="C76" s="11">
        <f>SUM('1. Inputs'!F92,'1. Inputs'!F31:F47)*-1</f>
        <v>-3720</v>
      </c>
      <c r="D76" s="16">
        <f>VLOOKUP('1. Inputs'!E82,'Variety Data'!B6:Q21,8,FALSE)</f>
        <v>425</v>
      </c>
      <c r="E76" s="11">
        <f t="shared" si="12"/>
        <v>14133.375000000002</v>
      </c>
      <c r="F76" s="11">
        <f t="shared" si="13"/>
        <v>10413.375000000002</v>
      </c>
      <c r="G76" s="11">
        <f t="shared" si="14"/>
        <v>27762.690000000002</v>
      </c>
    </row>
    <row r="77" spans="2:7">
      <c r="B77" s="10" t="s">
        <v>63</v>
      </c>
      <c r="C77" s="11">
        <f>SUM('1. Inputs'!F92,'1. Inputs'!F31:F47)*-1</f>
        <v>-3720</v>
      </c>
      <c r="D77" s="16">
        <f>VLOOKUP('1. Inputs'!E82,'Variety Data'!B6:Q21,9,FALSE)</f>
        <v>425</v>
      </c>
      <c r="E77" s="11">
        <f t="shared" si="12"/>
        <v>14133.375000000002</v>
      </c>
      <c r="F77" s="11">
        <f t="shared" si="13"/>
        <v>10413.375000000002</v>
      </c>
      <c r="G77" s="11">
        <f t="shared" si="14"/>
        <v>38176.065000000002</v>
      </c>
    </row>
    <row r="78" spans="2:7">
      <c r="B78" s="10" t="s">
        <v>64</v>
      </c>
      <c r="C78" s="11">
        <f>SUM('1. Inputs'!F92,'1. Inputs'!F31:F47)*-1</f>
        <v>-3720</v>
      </c>
      <c r="D78" s="16">
        <f>VLOOKUP('1. Inputs'!E82,'Variety Data'!B6:Q21,10,FALSE)</f>
        <v>425</v>
      </c>
      <c r="E78" s="11">
        <f t="shared" si="12"/>
        <v>14133.375000000002</v>
      </c>
      <c r="F78" s="11">
        <f t="shared" si="13"/>
        <v>10413.375000000002</v>
      </c>
      <c r="G78" s="11">
        <f t="shared" si="14"/>
        <v>48589.440000000002</v>
      </c>
    </row>
    <row r="79" spans="2:7">
      <c r="B79" s="10" t="s">
        <v>65</v>
      </c>
      <c r="C79" s="11">
        <f>SUM('1. Inputs'!F92,'1. Inputs'!F31:F47)*-1</f>
        <v>-3720</v>
      </c>
      <c r="D79" s="16">
        <f>VLOOKUP('1. Inputs'!E82,'Variety Data'!B6:Q21,11,FALSE)</f>
        <v>425</v>
      </c>
      <c r="E79" s="11">
        <f t="shared" si="12"/>
        <v>14133.375000000002</v>
      </c>
      <c r="F79" s="11">
        <f t="shared" si="13"/>
        <v>10413.375000000002</v>
      </c>
      <c r="G79" s="11">
        <f t="shared" si="14"/>
        <v>59002.815000000002</v>
      </c>
    </row>
    <row r="80" spans="2:7">
      <c r="B80" s="9" t="s">
        <v>31</v>
      </c>
      <c r="C80" s="13">
        <f>SUM(C70:C79)</f>
        <v>-61546.559999999998</v>
      </c>
      <c r="D80" s="14"/>
      <c r="E80" s="13">
        <f t="shared" ref="E80:F80" si="15">SUM(E70:E79)</f>
        <v>120549.375</v>
      </c>
      <c r="F80" s="13">
        <f t="shared" si="15"/>
        <v>59002.815000000002</v>
      </c>
      <c r="G80" s="13">
        <f>G79</f>
        <v>59002.815000000002</v>
      </c>
    </row>
    <row r="83" spans="2:7">
      <c r="B83" s="1" t="s">
        <v>141</v>
      </c>
      <c r="F83" s="1"/>
      <c r="G83" s="8" t="str">
        <f>"VARIETY:  "&amp;'1. Inputs'!E96</f>
        <v>VARIETY:  DEMORANVILLE</v>
      </c>
    </row>
    <row r="84" spans="2:7" ht="29">
      <c r="B84" s="35" t="s">
        <v>6</v>
      </c>
      <c r="C84" s="35" t="s">
        <v>10</v>
      </c>
      <c r="D84" s="36" t="s">
        <v>4</v>
      </c>
      <c r="E84" s="35" t="s">
        <v>11</v>
      </c>
      <c r="F84" s="36" t="s">
        <v>37</v>
      </c>
      <c r="G84" s="36" t="s">
        <v>47</v>
      </c>
    </row>
    <row r="85" spans="2:7">
      <c r="B85" s="10" t="s">
        <v>66</v>
      </c>
      <c r="C85" s="11">
        <f>SUM('1. Inputs'!F99:F104,'1. Inputs'!F105:F105,'1. Inputs'!F31,('1. Inputs'!F32*1.2),'1. Inputs'!F33:F34,('1. Inputs'!F35*1.2),'1. Inputs'!F37:F40,'1. Inputs'!F42, '1. Inputs'!F46:F47, '1. Inputs'!F107:F108)*-1</f>
        <v>-28857.03</v>
      </c>
      <c r="D85" s="16">
        <f>VLOOKUP('1. Inputs'!$E$96,'Variety Data'!$B$6:$Q$21,2,FALSE)</f>
        <v>0</v>
      </c>
      <c r="E85" s="11">
        <f t="shared" ref="E85:E94" si="16">D85*$J$5</f>
        <v>0</v>
      </c>
      <c r="F85" s="11">
        <f>E85+C85</f>
        <v>-28857.03</v>
      </c>
      <c r="G85" s="11">
        <f>F85</f>
        <v>-28857.03</v>
      </c>
    </row>
    <row r="86" spans="2:7">
      <c r="B86" s="10" t="s">
        <v>57</v>
      </c>
      <c r="C86" s="11">
        <f>SUM('1. Inputs'!F106,'1. Inputs'!F31,('1. Inputs'!F32*1.2),'1. Inputs'!F33:F34,('1. Inputs'!F35*1.2),'1. Inputs'!F36:F42,'1. Inputs'!F44:F47)*-1</f>
        <v>-3800</v>
      </c>
      <c r="D86" s="16">
        <f>VLOOKUP('1. Inputs'!$E$96,'Variety Data'!$B$6:$Q$21,3,FALSE)</f>
        <v>150</v>
      </c>
      <c r="E86" s="11">
        <f t="shared" si="16"/>
        <v>4988.25</v>
      </c>
      <c r="F86" s="11">
        <f t="shared" ref="F86:F94" si="17">E86+C86</f>
        <v>1188.25</v>
      </c>
      <c r="G86" s="11">
        <f>F86+G85</f>
        <v>-27668.78</v>
      </c>
    </row>
    <row r="87" spans="2:7">
      <c r="B87" s="10" t="s">
        <v>58</v>
      </c>
      <c r="C87" s="11">
        <f>SUM('1. Inputs'!F106,'1. Inputs'!F31,('1. Inputs'!F32*1.2),'1. Inputs'!F33:F34,('1. Inputs'!F35*1.2),'1. Inputs'!F36:F47) * -1</f>
        <v>-3900</v>
      </c>
      <c r="D87" s="16">
        <f>VLOOKUP('1. Inputs'!$E$96,'Variety Data'!$B$6:$Q$21,4,FALSE)</f>
        <v>200</v>
      </c>
      <c r="E87" s="11">
        <f t="shared" si="16"/>
        <v>6651.0000000000009</v>
      </c>
      <c r="F87" s="11">
        <f t="shared" si="17"/>
        <v>2751.0000000000009</v>
      </c>
      <c r="G87" s="11">
        <f>F87+G86</f>
        <v>-24917.78</v>
      </c>
    </row>
    <row r="88" spans="2:7">
      <c r="B88" s="10" t="s">
        <v>59</v>
      </c>
      <c r="C88" s="11">
        <f>SUM('1. Inputs'!F106,'1. Inputs'!F31:F47)*-1</f>
        <v>-3720</v>
      </c>
      <c r="D88" s="16">
        <f>VLOOKUP('1. Inputs'!$E$96,'Variety Data'!$B$6:$Q$21,5,FALSE)</f>
        <v>300</v>
      </c>
      <c r="E88" s="11">
        <f t="shared" si="16"/>
        <v>9976.5</v>
      </c>
      <c r="F88" s="11">
        <f t="shared" si="17"/>
        <v>6256.5</v>
      </c>
      <c r="G88" s="11">
        <f t="shared" ref="G88:G94" si="18">F88+G87</f>
        <v>-18661.28</v>
      </c>
    </row>
    <row r="89" spans="2:7">
      <c r="B89" s="10" t="s">
        <v>60</v>
      </c>
      <c r="C89" s="11">
        <f>SUM('1. Inputs'!F106,'1. Inputs'!F31:F47)*-1</f>
        <v>-3720</v>
      </c>
      <c r="D89" s="16">
        <f>VLOOKUP('1. Inputs'!$E$96,'Variety Data'!$B$6:$Q$21,6,FALSE)</f>
        <v>300</v>
      </c>
      <c r="E89" s="11">
        <f t="shared" si="16"/>
        <v>9976.5</v>
      </c>
      <c r="F89" s="11">
        <f t="shared" si="17"/>
        <v>6256.5</v>
      </c>
      <c r="G89" s="11">
        <f t="shared" si="18"/>
        <v>-12404.779999999999</v>
      </c>
    </row>
    <row r="90" spans="2:7">
      <c r="B90" s="10" t="s">
        <v>61</v>
      </c>
      <c r="C90" s="11">
        <f>SUM('1. Inputs'!F106,'1. Inputs'!F31:F47)*-1</f>
        <v>-3720</v>
      </c>
      <c r="D90" s="16">
        <f>VLOOKUP('1. Inputs'!$E$96,'Variety Data'!$B$6:$Q$21,7,FALSE)</f>
        <v>300</v>
      </c>
      <c r="E90" s="11">
        <f t="shared" si="16"/>
        <v>9976.5</v>
      </c>
      <c r="F90" s="11">
        <f t="shared" si="17"/>
        <v>6256.5</v>
      </c>
      <c r="G90" s="11">
        <f t="shared" si="18"/>
        <v>-6148.2799999999988</v>
      </c>
    </row>
    <row r="91" spans="2:7">
      <c r="B91" s="10" t="s">
        <v>62</v>
      </c>
      <c r="C91" s="11">
        <f>SUM('1. Inputs'!F106,'1. Inputs'!F31:F47)*-1</f>
        <v>-3720</v>
      </c>
      <c r="D91" s="16">
        <f>VLOOKUP('1. Inputs'!$E$96,'Variety Data'!$B$6:$Q$21,8,FALSE)</f>
        <v>300</v>
      </c>
      <c r="E91" s="11">
        <f t="shared" si="16"/>
        <v>9976.5</v>
      </c>
      <c r="F91" s="11">
        <f t="shared" si="17"/>
        <v>6256.5</v>
      </c>
      <c r="G91" s="11">
        <f t="shared" si="18"/>
        <v>108.22000000000116</v>
      </c>
    </row>
    <row r="92" spans="2:7">
      <c r="B92" s="10" t="s">
        <v>63</v>
      </c>
      <c r="C92" s="11">
        <f>SUM('1. Inputs'!F106,'1. Inputs'!F31:F47)*-1</f>
        <v>-3720</v>
      </c>
      <c r="D92" s="16">
        <f>VLOOKUP('1. Inputs'!$E$96,'Variety Data'!$B$6:$Q$21,9,FALSE)</f>
        <v>300</v>
      </c>
      <c r="E92" s="11">
        <f t="shared" si="16"/>
        <v>9976.5</v>
      </c>
      <c r="F92" s="11">
        <f t="shared" si="17"/>
        <v>6256.5</v>
      </c>
      <c r="G92" s="11">
        <f t="shared" si="18"/>
        <v>6364.7200000000012</v>
      </c>
    </row>
    <row r="93" spans="2:7">
      <c r="B93" s="10" t="s">
        <v>64</v>
      </c>
      <c r="C93" s="11">
        <f>SUM('1. Inputs'!F106,'1. Inputs'!F31:F47)*-1</f>
        <v>-3720</v>
      </c>
      <c r="D93" s="16">
        <f>VLOOKUP('1. Inputs'!$E$96,'Variety Data'!$B$6:$Q$21,10,FALSE)</f>
        <v>300</v>
      </c>
      <c r="E93" s="11">
        <f t="shared" si="16"/>
        <v>9976.5</v>
      </c>
      <c r="F93" s="11">
        <f t="shared" si="17"/>
        <v>6256.5</v>
      </c>
      <c r="G93" s="11">
        <f t="shared" si="18"/>
        <v>12621.220000000001</v>
      </c>
    </row>
    <row r="94" spans="2:7">
      <c r="B94" s="10" t="s">
        <v>65</v>
      </c>
      <c r="C94" s="11">
        <f>SUM('1. Inputs'!F106,'1. Inputs'!F31:F47)*-1</f>
        <v>-3720</v>
      </c>
      <c r="D94" s="16">
        <f>VLOOKUP('1. Inputs'!$E$96,'Variety Data'!$B$6:$Q$21,11,FALSE)</f>
        <v>300</v>
      </c>
      <c r="E94" s="11">
        <f t="shared" si="16"/>
        <v>9976.5</v>
      </c>
      <c r="F94" s="11">
        <f t="shared" si="17"/>
        <v>6256.5</v>
      </c>
      <c r="G94" s="11">
        <f t="shared" si="18"/>
        <v>18877.72</v>
      </c>
    </row>
    <row r="95" spans="2:7">
      <c r="B95" s="9" t="s">
        <v>31</v>
      </c>
      <c r="C95" s="13">
        <f>SUM(C85:C94)</f>
        <v>-62597.03</v>
      </c>
      <c r="D95" s="14"/>
      <c r="E95" s="13">
        <f>SUM(E85:E94)</f>
        <v>81474.75</v>
      </c>
      <c r="F95" s="13">
        <f>SUM(F85:F94)</f>
        <v>18877.72</v>
      </c>
      <c r="G95" s="13">
        <f>G94</f>
        <v>18877.72</v>
      </c>
    </row>
    <row r="98" spans="2:7">
      <c r="B98" s="1" t="s">
        <v>97</v>
      </c>
      <c r="F98" s="18"/>
      <c r="G98" s="8" t="str">
        <f>"OFF-PATENT VARIETY:  "&amp;'1. Inputs'!E110</f>
        <v>OFF-PATENT VARIETY:  STEVENS</v>
      </c>
    </row>
    <row r="99" spans="2:7" ht="29">
      <c r="B99" s="35" t="s">
        <v>6</v>
      </c>
      <c r="C99" s="35" t="s">
        <v>10</v>
      </c>
      <c r="D99" s="36" t="s">
        <v>4</v>
      </c>
      <c r="E99" s="35" t="s">
        <v>11</v>
      </c>
      <c r="F99" s="36" t="s">
        <v>37</v>
      </c>
      <c r="G99" s="36" t="s">
        <v>47</v>
      </c>
    </row>
    <row r="100" spans="2:7">
      <c r="B100" s="10" t="s">
        <v>66</v>
      </c>
      <c r="C100" s="11">
        <f>SUM('1. Inputs'!F113:F123, '1. Inputs'!F31,('1. Inputs'!F32*1.2),'1. Inputs'!F33:F34,('1. Inputs'!F35*1.2),'1. Inputs'!F37:F40,'1. Inputs'!F42, '1. Inputs'!F46:F47)*-1</f>
        <v>-16648.75</v>
      </c>
      <c r="D100" s="16">
        <f>VLOOKUP('1. Inputs'!E110,'Variety Data'!B17:L21,2,FALSE)</f>
        <v>0</v>
      </c>
      <c r="E100" s="11">
        <f t="shared" ref="E100:E109" si="19">D100*$J$5</f>
        <v>0</v>
      </c>
      <c r="F100" s="11">
        <f>E100+C100</f>
        <v>-16648.75</v>
      </c>
      <c r="G100" s="11">
        <f>F100</f>
        <v>-16648.75</v>
      </c>
    </row>
    <row r="101" spans="2:7">
      <c r="B101" s="10" t="s">
        <v>57</v>
      </c>
      <c r="C101" s="11">
        <f>SUM('1. Inputs'!F31,('1. Inputs'!F32*1.2),'1. Inputs'!F33:F34,('1. Inputs'!F35*1.2),'1. Inputs'!F36:F42,'1. Inputs'!F44:F47)*-1</f>
        <v>-3800</v>
      </c>
      <c r="D101" s="16">
        <f>VLOOKUP('1. Inputs'!E110,'Variety Data'!B17:L21,3,FALSE)</f>
        <v>100</v>
      </c>
      <c r="E101" s="11">
        <f t="shared" si="19"/>
        <v>3325.5000000000005</v>
      </c>
      <c r="F101" s="11">
        <f t="shared" ref="F101:F109" si="20">E101+C101</f>
        <v>-474.49999999999955</v>
      </c>
      <c r="G101" s="11">
        <f>F101+G100</f>
        <v>-17123.25</v>
      </c>
    </row>
    <row r="102" spans="2:7">
      <c r="B102" s="10" t="s">
        <v>58</v>
      </c>
      <c r="C102" s="11">
        <f>SUM('1. Inputs'!F31,('1. Inputs'!F32*1.2),'1. Inputs'!F33:F34,('1. Inputs'!F35*1.2),'1. Inputs'!F36:F47) * -1</f>
        <v>-3900</v>
      </c>
      <c r="D102" s="16">
        <f>VLOOKUP('1. Inputs'!E110,'Variety Data'!B17:L21,4,FALSE)</f>
        <v>150</v>
      </c>
      <c r="E102" s="11">
        <f t="shared" si="19"/>
        <v>4988.25</v>
      </c>
      <c r="F102" s="11">
        <f t="shared" si="20"/>
        <v>1088.25</v>
      </c>
      <c r="G102" s="11">
        <f>F102+G101</f>
        <v>-16035</v>
      </c>
    </row>
    <row r="103" spans="2:7">
      <c r="B103" s="10" t="s">
        <v>59</v>
      </c>
      <c r="C103" s="11">
        <f>SUM('1. Inputs'!F31:F47)*-1</f>
        <v>-3720</v>
      </c>
      <c r="D103" s="16">
        <f>VLOOKUP('1. Inputs'!E110,'Variety Data'!B17:L21,5,FALSE)</f>
        <v>200</v>
      </c>
      <c r="E103" s="11">
        <f t="shared" si="19"/>
        <v>6651.0000000000009</v>
      </c>
      <c r="F103" s="11">
        <f t="shared" si="20"/>
        <v>2931.0000000000009</v>
      </c>
      <c r="G103" s="11">
        <f t="shared" ref="G103:G109" si="21">F103+G102</f>
        <v>-13104</v>
      </c>
    </row>
    <row r="104" spans="2:7">
      <c r="B104" s="10" t="s">
        <v>60</v>
      </c>
      <c r="C104" s="11">
        <f>SUM('1. Inputs'!F31:F47)*-1</f>
        <v>-3720</v>
      </c>
      <c r="D104" s="16">
        <f>VLOOKUP('1. Inputs'!E110,'Variety Data'!B17:L21,6,FALSE)</f>
        <v>200</v>
      </c>
      <c r="E104" s="11">
        <f t="shared" si="19"/>
        <v>6651.0000000000009</v>
      </c>
      <c r="F104" s="11">
        <f t="shared" si="20"/>
        <v>2931.0000000000009</v>
      </c>
      <c r="G104" s="11">
        <f t="shared" si="21"/>
        <v>-10173</v>
      </c>
    </row>
    <row r="105" spans="2:7">
      <c r="B105" s="10" t="s">
        <v>61</v>
      </c>
      <c r="C105" s="11">
        <f>SUM('1. Inputs'!F31:F47)*-1</f>
        <v>-3720</v>
      </c>
      <c r="D105" s="16">
        <f>VLOOKUP('1. Inputs'!E110,'Variety Data'!B17:L21,7,FALSE)</f>
        <v>200</v>
      </c>
      <c r="E105" s="11">
        <f t="shared" si="19"/>
        <v>6651.0000000000009</v>
      </c>
      <c r="F105" s="11">
        <f t="shared" si="20"/>
        <v>2931.0000000000009</v>
      </c>
      <c r="G105" s="11">
        <f t="shared" si="21"/>
        <v>-7241.9999999999991</v>
      </c>
    </row>
    <row r="106" spans="2:7">
      <c r="B106" s="10" t="s">
        <v>62</v>
      </c>
      <c r="C106" s="11">
        <f>SUM('1. Inputs'!F31:F47)*-1</f>
        <v>-3720</v>
      </c>
      <c r="D106" s="16">
        <f>VLOOKUP('1. Inputs'!E110,'Variety Data'!B17:L21,8,FALSE)</f>
        <v>200</v>
      </c>
      <c r="E106" s="11">
        <f t="shared" si="19"/>
        <v>6651.0000000000009</v>
      </c>
      <c r="F106" s="11">
        <f t="shared" si="20"/>
        <v>2931.0000000000009</v>
      </c>
      <c r="G106" s="11">
        <f t="shared" si="21"/>
        <v>-4310.9999999999982</v>
      </c>
    </row>
    <row r="107" spans="2:7">
      <c r="B107" s="10" t="s">
        <v>63</v>
      </c>
      <c r="C107" s="11">
        <f>SUM('1. Inputs'!F31:F47)*-1</f>
        <v>-3720</v>
      </c>
      <c r="D107" s="16">
        <f>VLOOKUP('1. Inputs'!E110,'Variety Data'!B17:L21,9,FALSE)</f>
        <v>200</v>
      </c>
      <c r="E107" s="11">
        <f t="shared" si="19"/>
        <v>6651.0000000000009</v>
      </c>
      <c r="F107" s="11">
        <f t="shared" si="20"/>
        <v>2931.0000000000009</v>
      </c>
      <c r="G107" s="11">
        <f t="shared" si="21"/>
        <v>-1379.9999999999973</v>
      </c>
    </row>
    <row r="108" spans="2:7">
      <c r="B108" s="10" t="s">
        <v>64</v>
      </c>
      <c r="C108" s="11">
        <f>SUM('1. Inputs'!F31:F47)*-1</f>
        <v>-3720</v>
      </c>
      <c r="D108" s="16">
        <f>VLOOKUP('1. Inputs'!E110,'Variety Data'!B17:L21,10,FALSE)</f>
        <v>200</v>
      </c>
      <c r="E108" s="11">
        <f t="shared" si="19"/>
        <v>6651.0000000000009</v>
      </c>
      <c r="F108" s="11">
        <f t="shared" si="20"/>
        <v>2931.0000000000009</v>
      </c>
      <c r="G108" s="11">
        <f t="shared" si="21"/>
        <v>1551.0000000000036</v>
      </c>
    </row>
    <row r="109" spans="2:7">
      <c r="B109" s="10" t="s">
        <v>65</v>
      </c>
      <c r="C109" s="11">
        <f>SUM('1. Inputs'!F31:F47)*-1</f>
        <v>-3720</v>
      </c>
      <c r="D109" s="16">
        <f>VLOOKUP('1. Inputs'!E110,'Variety Data'!B17:L21,11,FALSE)</f>
        <v>200</v>
      </c>
      <c r="E109" s="11">
        <f t="shared" si="19"/>
        <v>6651.0000000000009</v>
      </c>
      <c r="F109" s="11">
        <f t="shared" si="20"/>
        <v>2931.0000000000009</v>
      </c>
      <c r="G109" s="11">
        <f t="shared" si="21"/>
        <v>4482.0000000000045</v>
      </c>
    </row>
    <row r="110" spans="2:7">
      <c r="B110" s="9" t="s">
        <v>31</v>
      </c>
      <c r="C110" s="13">
        <f>SUM(C100:C109)</f>
        <v>-50388.75</v>
      </c>
      <c r="D110" s="14"/>
      <c r="E110" s="13">
        <f>SUM(E100:E109)</f>
        <v>54870.75</v>
      </c>
      <c r="F110" s="13">
        <f>SUM(F100:F109)</f>
        <v>4482.0000000000045</v>
      </c>
      <c r="G110" s="13">
        <f>G109</f>
        <v>4482.0000000000045</v>
      </c>
    </row>
  </sheetData>
  <sheetProtection algorithmName="SHA-512" hashValue="5W1fp9MdLsU/TD/yE2KfZtc8U2ghQpJUL6qqkbsymXXcA2AyZLOzicQ6vlj4Aq+GMR1xwHn3AzUT2ylRz6XOzQ==" saltValue="Tk6N6YFuQXF7OORNfHORxQ==" spinCount="100000" sheet="1" scenarios="1" selectLockedCells="1" selectUnlockedCells="1"/>
  <phoneticPr fontId="23" type="noConversion"/>
  <pageMargins left="0.7" right="0.7" top="0.75" bottom="0.75" header="0.3" footer="0.3"/>
  <pageSetup scale="96" orientation="landscape" verticalDpi="0" r:id="rId1"/>
  <headerFooter differentFirst="1">
    <oddHeader>&amp;R&amp;"Calibri (Body),Regular"&amp;K00-032RETURN ON INVESTMENT CALCULATOR
&amp;10PROFIT SUMMARY</oddHeader>
    <oddFooter>&amp;RPage &amp;P of &amp;N</oddFooter>
    <firstFooter>&amp;RPage &amp;P of &amp;N</firstFooter>
  </headerFooter>
  <rowBreaks count="3" manualBreakCount="3">
    <brk id="36" min="1" max="13" man="1"/>
    <brk id="67" max="16383" man="1"/>
    <brk id="97"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1A1296-B687-7B4B-8E60-539372E612C2}">
  <dimension ref="A1:R20"/>
  <sheetViews>
    <sheetView showGridLines="0" tabSelected="1" view="pageLayout" topLeftCell="A4" zoomScale="110" zoomScaleNormal="120" zoomScalePageLayoutView="110" workbookViewId="0">
      <selection activeCell="B3" sqref="B3"/>
    </sheetView>
  </sheetViews>
  <sheetFormatPr defaultColWidth="10.81640625" defaultRowHeight="14.5"/>
  <cols>
    <col min="1" max="1" width="1" customWidth="1"/>
    <col min="2" max="2" width="7.7265625" style="2" customWidth="1"/>
    <col min="3" max="3" width="23" style="2" customWidth="1"/>
    <col min="4" max="4" width="23.81640625" style="2" customWidth="1"/>
    <col min="5" max="5" width="8.81640625" style="2" customWidth="1"/>
    <col min="6" max="6" width="6.7265625" style="2" customWidth="1"/>
    <col min="7" max="8" width="15.453125" style="2" customWidth="1"/>
    <col min="9" max="9" width="12.81640625" style="2" customWidth="1"/>
    <col min="10" max="10" width="5.1796875" style="2" customWidth="1"/>
    <col min="11" max="11" width="4.81640625" style="2" customWidth="1"/>
    <col min="12" max="12" width="8.81640625" style="2" customWidth="1"/>
    <col min="13" max="13" width="10.453125" style="2" customWidth="1"/>
    <col min="14" max="16" width="11.81640625" style="2" customWidth="1"/>
    <col min="17" max="17" width="4.81640625" style="2" customWidth="1"/>
    <col min="18" max="18" width="11.7265625" style="2" customWidth="1"/>
    <col min="19" max="19" width="5" style="2" bestFit="1" customWidth="1"/>
    <col min="20" max="20" width="10.453125" style="2" customWidth="1"/>
    <col min="21" max="21" width="10.81640625" style="2" customWidth="1"/>
    <col min="22" max="16384" width="10.81640625" style="2"/>
  </cols>
  <sheetData>
    <row r="1" spans="2:18" s="4" customFormat="1" ht="18" customHeight="1">
      <c r="B1" s="17" t="s">
        <v>259</v>
      </c>
      <c r="C1" s="17"/>
      <c r="E1" s="5"/>
      <c r="F1" s="5"/>
      <c r="G1" s="5"/>
      <c r="H1" s="5"/>
    </row>
    <row r="2" spans="2:18" s="4" customFormat="1" ht="16" customHeight="1">
      <c r="B2" s="6" t="s">
        <v>241</v>
      </c>
      <c r="C2" s="6"/>
      <c r="E2" s="5"/>
      <c r="F2" s="5"/>
      <c r="G2" s="5"/>
      <c r="H2" s="5"/>
    </row>
    <row r="3" spans="2:18" ht="9" customHeight="1"/>
    <row r="4" spans="2:18" ht="15.5">
      <c r="B4" s="47" t="s">
        <v>35</v>
      </c>
      <c r="C4" s="199" t="str">
        <f>IF(ISBLANK('1. Inputs'!C4)=TRUE,"",'1. Inputs'!C4)</f>
        <v/>
      </c>
      <c r="D4" s="200" t="s">
        <v>78</v>
      </c>
      <c r="E4" s="201">
        <f>'1. Inputs'!H23</f>
        <v>33.255000000000003</v>
      </c>
      <c r="F4" s="202" t="s">
        <v>89</v>
      </c>
      <c r="G4" s="28"/>
      <c r="H4" s="28"/>
      <c r="I4" s="28"/>
      <c r="K4" s="155"/>
      <c r="L4" s="156"/>
      <c r="M4" s="143"/>
      <c r="N4" s="143"/>
      <c r="P4" s="7"/>
      <c r="Q4" s="7"/>
      <c r="R4" s="7"/>
    </row>
    <row r="5" spans="2:18" ht="15.5">
      <c r="B5" s="47" t="s">
        <v>36</v>
      </c>
      <c r="C5" s="199" t="str">
        <f>IF(ISBLANK('1. Inputs'!C5)=TRUE,"",'1. Inputs'!C5)</f>
        <v/>
      </c>
      <c r="D5" s="203"/>
      <c r="E5" s="202"/>
      <c r="F5" s="202"/>
      <c r="G5" s="204"/>
      <c r="H5" s="205"/>
      <c r="I5" s="28"/>
      <c r="N5" s="143"/>
      <c r="P5" s="7"/>
      <c r="Q5" s="7"/>
      <c r="R5" s="7"/>
    </row>
    <row r="6" spans="2:18" ht="9" customHeight="1">
      <c r="B6" s="28"/>
      <c r="C6" s="28"/>
      <c r="D6" s="28"/>
      <c r="E6" s="28"/>
      <c r="F6" s="28"/>
      <c r="G6" s="28"/>
      <c r="H6" s="28"/>
      <c r="I6" s="28"/>
    </row>
    <row r="7" spans="2:18" ht="16" customHeight="1">
      <c r="B7" s="19" t="s">
        <v>243</v>
      </c>
      <c r="C7" s="19"/>
      <c r="D7" s="28"/>
      <c r="E7" s="28"/>
      <c r="F7" s="28"/>
      <c r="G7" s="28"/>
      <c r="H7" s="28"/>
      <c r="I7" s="206"/>
    </row>
    <row r="8" spans="2:18" ht="31">
      <c r="B8" s="256" t="s">
        <v>242</v>
      </c>
      <c r="C8" s="257"/>
      <c r="D8" s="193" t="s">
        <v>252</v>
      </c>
      <c r="E8" s="252" t="s">
        <v>256</v>
      </c>
      <c r="F8" s="253"/>
      <c r="G8" s="194" t="s">
        <v>251</v>
      </c>
      <c r="H8" s="194" t="s">
        <v>122</v>
      </c>
      <c r="I8" s="28"/>
    </row>
    <row r="9" spans="2:18" ht="15.5">
      <c r="B9" s="258" t="s">
        <v>244</v>
      </c>
      <c r="C9" s="259"/>
      <c r="D9" s="195" t="str">
        <f>IF('1. Inputs'!C6=0,"",UPPER('1. Inputs'!C6))</f>
        <v/>
      </c>
      <c r="E9" s="254">
        <f>'2. Return on Investment Summary'!C19</f>
        <v>-37200</v>
      </c>
      <c r="F9" s="255"/>
      <c r="G9" s="196">
        <f>'2. Return on Investment Summary'!E19</f>
        <v>36580.5</v>
      </c>
      <c r="H9" s="196">
        <f>'2. Return on Investment Summary'!G19</f>
        <v>-619.49999999999818</v>
      </c>
      <c r="I9" s="28"/>
    </row>
    <row r="10" spans="2:18" ht="15.5">
      <c r="B10" s="250" t="s">
        <v>245</v>
      </c>
      <c r="C10" s="251"/>
      <c r="D10" s="195" t="str">
        <f>IF('1. Inputs'!C6=0,"",UPPER('1. Inputs'!C6))</f>
        <v/>
      </c>
      <c r="E10" s="254">
        <f>'2. Return on Investment Summary'!C36</f>
        <v>-42280</v>
      </c>
      <c r="F10" s="255"/>
      <c r="G10" s="196">
        <f>'2. Return on Investment Summary'!E36</f>
        <v>46091.43</v>
      </c>
      <c r="H10" s="196">
        <f>'2. Return on Investment Summary'!G36</f>
        <v>3811.4300000000003</v>
      </c>
      <c r="I10" s="28"/>
    </row>
    <row r="11" spans="2:18" ht="15.5">
      <c r="B11" s="250" t="s">
        <v>246</v>
      </c>
      <c r="C11" s="251"/>
      <c r="D11" s="195" t="str">
        <f>IF('1. Inputs'!C6=0,"",UPPER('1. Inputs'!C6))</f>
        <v/>
      </c>
      <c r="E11" s="254">
        <f>'2. Return on Investment Summary'!C50</f>
        <v>-37570</v>
      </c>
      <c r="F11" s="255"/>
      <c r="G11" s="196">
        <f>'2. Return on Investment Summary'!E50</f>
        <v>30178.912499999995</v>
      </c>
      <c r="H11" s="196">
        <f>'2. Return on Investment Summary'!G50</f>
        <v>-7391.0874999999987</v>
      </c>
      <c r="I11" s="28"/>
    </row>
    <row r="12" spans="2:18" ht="15.5">
      <c r="B12" s="250" t="s">
        <v>247</v>
      </c>
      <c r="C12" s="251"/>
      <c r="D12" s="197" t="str">
        <f>'1. Inputs'!E65</f>
        <v>MULLICA QUEEN</v>
      </c>
      <c r="E12" s="254">
        <f>'2. Return on Investment Summary'!C65</f>
        <v>-52034.455000000002</v>
      </c>
      <c r="F12" s="255"/>
      <c r="G12" s="196">
        <f>'2. Return on Investment Summary'!E65</f>
        <v>111570.52500000001</v>
      </c>
      <c r="H12" s="196">
        <f>'2. Return on Investment Summary'!G65</f>
        <v>59536.070000000007</v>
      </c>
      <c r="I12" s="28"/>
    </row>
    <row r="13" spans="2:18" ht="15.5">
      <c r="B13" s="250" t="s">
        <v>248</v>
      </c>
      <c r="C13" s="251"/>
      <c r="D13" s="198" t="str">
        <f>'1. Inputs'!E82</f>
        <v>99-25</v>
      </c>
      <c r="E13" s="254">
        <f>'2. Return on Investment Summary'!C80</f>
        <v>-61546.559999999998</v>
      </c>
      <c r="F13" s="255"/>
      <c r="G13" s="196">
        <f>'2. Return on Investment Summary'!E80</f>
        <v>120549.375</v>
      </c>
      <c r="H13" s="196">
        <f>'2. Return on Investment Summary'!G80</f>
        <v>59002.815000000002</v>
      </c>
      <c r="I13" s="28"/>
    </row>
    <row r="14" spans="2:18" ht="15.5">
      <c r="B14" s="250" t="s">
        <v>249</v>
      </c>
      <c r="C14" s="251"/>
      <c r="D14" s="198" t="str">
        <f>'1. Inputs'!E96</f>
        <v>DEMORANVILLE</v>
      </c>
      <c r="E14" s="254">
        <f>'2. Return on Investment Summary'!C95</f>
        <v>-62597.03</v>
      </c>
      <c r="F14" s="255"/>
      <c r="G14" s="196">
        <f>'2. Return on Investment Summary'!E95</f>
        <v>81474.75</v>
      </c>
      <c r="H14" s="196">
        <f>'2. Return on Investment Summary'!G95</f>
        <v>18877.72</v>
      </c>
      <c r="I14" s="28"/>
    </row>
    <row r="15" spans="2:18" ht="15.5">
      <c r="B15" s="250" t="s">
        <v>250</v>
      </c>
      <c r="C15" s="251"/>
      <c r="D15" s="198" t="str">
        <f>'1. Inputs'!E110</f>
        <v>STEVENS</v>
      </c>
      <c r="E15" s="254">
        <f>'2. Return on Investment Summary'!C110</f>
        <v>-50388.75</v>
      </c>
      <c r="F15" s="255"/>
      <c r="G15" s="196">
        <f>'2. Return on Investment Summary'!E110</f>
        <v>54870.75</v>
      </c>
      <c r="H15" s="196">
        <f>'2. Return on Investment Summary'!G110</f>
        <v>4482.0000000000045</v>
      </c>
      <c r="I15" s="28"/>
    </row>
    <row r="16" spans="2:18">
      <c r="B16" s="28"/>
      <c r="C16" s="28"/>
      <c r="D16" s="28"/>
      <c r="E16" s="28"/>
      <c r="F16" s="28"/>
      <c r="G16" s="28"/>
      <c r="H16" s="28"/>
      <c r="I16" s="28"/>
    </row>
    <row r="17" spans="2:9">
      <c r="B17" s="28"/>
      <c r="C17" s="28"/>
      <c r="D17" s="28"/>
      <c r="E17" s="28"/>
      <c r="F17" s="28"/>
      <c r="G17" s="28"/>
      <c r="H17" s="28"/>
      <c r="I17" s="28"/>
    </row>
    <row r="18" spans="2:9">
      <c r="B18" s="28"/>
      <c r="C18" s="28"/>
      <c r="D18" s="28"/>
      <c r="E18" s="28"/>
      <c r="F18" s="28"/>
      <c r="G18" s="28"/>
      <c r="H18" s="28"/>
      <c r="I18" s="28"/>
    </row>
    <row r="19" spans="2:9">
      <c r="B19" s="28"/>
      <c r="C19" s="28"/>
      <c r="D19" s="28"/>
      <c r="E19" s="28"/>
      <c r="F19" s="28"/>
      <c r="G19" s="28"/>
      <c r="H19" s="28"/>
      <c r="I19" s="28"/>
    </row>
    <row r="20" spans="2:9">
      <c r="B20" s="28"/>
      <c r="C20" s="28"/>
      <c r="D20" s="28"/>
      <c r="E20" s="28"/>
      <c r="F20" s="28"/>
      <c r="G20" s="28"/>
      <c r="H20" s="28"/>
      <c r="I20" s="28"/>
    </row>
  </sheetData>
  <sheetProtection algorithmName="SHA-512" hashValue="5W1fp9MdLsU/TD/yE2KfZtc8U2ghQpJUL6qqkbsymXXcA2AyZLOzicQ6vlj4Aq+GMR1xwHn3AzUT2ylRz6XOzQ==" saltValue="Tk6N6YFuQXF7OORNfHORxQ==" spinCount="100000" sheet="1" scenarios="1" selectLockedCells="1" selectUnlockedCells="1"/>
  <mergeCells count="16">
    <mergeCell ref="B14:C14"/>
    <mergeCell ref="B15:C15"/>
    <mergeCell ref="E8:F8"/>
    <mergeCell ref="E9:F9"/>
    <mergeCell ref="E15:F15"/>
    <mergeCell ref="E14:F14"/>
    <mergeCell ref="E13:F13"/>
    <mergeCell ref="E12:F12"/>
    <mergeCell ref="E11:F11"/>
    <mergeCell ref="E10:F10"/>
    <mergeCell ref="B8:C8"/>
    <mergeCell ref="B11:C11"/>
    <mergeCell ref="B10:C10"/>
    <mergeCell ref="B9:C9"/>
    <mergeCell ref="B12:C12"/>
    <mergeCell ref="B13:C13"/>
  </mergeCells>
  <pageMargins left="0.7" right="0.7" top="0.75" bottom="0.75" header="0.3" footer="0.3"/>
  <pageSetup scale="96" orientation="landscape" verticalDpi="0" r:id="rId1"/>
  <headerFooter differentFirst="1">
    <oddHeader>&amp;R&amp;"Calibri (Body),Regular"&amp;K00-032RETURN ON INVESTMENT CALCULATOR
&amp;10PROFIT SUMMARY</oddHeader>
    <oddFooter>&amp;RPage &amp;P of &amp;N</oddFooter>
    <firstFooter>&amp;RPage &amp;P of &amp;N</first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E9B56D-7D8D-CB40-99B5-509CC48FCF3E}">
  <dimension ref="A1:P278"/>
  <sheetViews>
    <sheetView showGridLines="0" view="pageLayout" zoomScaleNormal="100" workbookViewId="0">
      <selection activeCell="B3" sqref="B3"/>
    </sheetView>
  </sheetViews>
  <sheetFormatPr defaultColWidth="10.81640625" defaultRowHeight="14.5"/>
  <cols>
    <col min="1" max="1" width="1" customWidth="1"/>
    <col min="2" max="2" width="6" style="21" customWidth="1"/>
    <col min="3" max="3" width="31.453125" style="21" customWidth="1"/>
    <col min="4" max="13" width="9.26953125" style="21" customWidth="1"/>
    <col min="14" max="14" width="9.1796875" style="21" customWidth="1"/>
    <col min="15" max="16384" width="10.81640625" style="21"/>
  </cols>
  <sheetData>
    <row r="1" spans="1:16" ht="18" customHeight="1">
      <c r="A1" s="4"/>
      <c r="B1" s="17" t="s">
        <v>259</v>
      </c>
      <c r="D1" s="22"/>
      <c r="E1" s="22"/>
      <c r="F1" s="22"/>
    </row>
    <row r="2" spans="1:16" ht="16" customHeight="1">
      <c r="A2" s="4"/>
      <c r="B2" s="19" t="s">
        <v>115</v>
      </c>
      <c r="D2" s="22"/>
      <c r="E2" s="22"/>
      <c r="F2" s="22"/>
    </row>
    <row r="3" spans="1:16" ht="9" customHeight="1"/>
    <row r="4" spans="1:16" ht="15.5">
      <c r="B4" s="47" t="s">
        <v>35</v>
      </c>
      <c r="C4" s="48" t="str">
        <f>IF(ISBLANK('1. Inputs'!C4)=TRUE,"",'1. Inputs'!C4)</f>
        <v/>
      </c>
      <c r="E4" s="23"/>
      <c r="F4" s="24"/>
      <c r="G4" s="24"/>
      <c r="H4" s="24"/>
      <c r="I4" s="25"/>
      <c r="J4" s="26"/>
      <c r="N4" s="24"/>
      <c r="O4" s="24"/>
      <c r="P4" s="24"/>
    </row>
    <row r="5" spans="1:16" ht="15.5">
      <c r="B5" s="47" t="s">
        <v>36</v>
      </c>
      <c r="C5" s="48" t="str">
        <f>IF(ISBLANK('1. Inputs'!C5)=TRUE,"",'1. Inputs'!C5)</f>
        <v/>
      </c>
      <c r="E5" s="23"/>
      <c r="F5" s="24"/>
      <c r="G5" s="24"/>
      <c r="H5" s="24"/>
      <c r="I5" s="25"/>
      <c r="J5" s="27"/>
      <c r="N5" s="24"/>
      <c r="O5" s="24"/>
      <c r="P5" s="24"/>
    </row>
    <row r="6" spans="1:16" ht="9" customHeight="1"/>
    <row r="7" spans="1:16" ht="16" customHeight="1">
      <c r="B7" s="20" t="s">
        <v>75</v>
      </c>
      <c r="C7" s="33"/>
      <c r="D7" s="46" t="str">
        <f>"VARIETY:  "&amp;UPPER('1. Inputs'!C6)</f>
        <v xml:space="preserve">VARIETY:  </v>
      </c>
      <c r="F7" s="22"/>
    </row>
    <row r="8" spans="1:16">
      <c r="B8" s="260"/>
      <c r="C8" s="260"/>
      <c r="D8" s="137" t="s">
        <v>66</v>
      </c>
      <c r="E8" s="137" t="s">
        <v>57</v>
      </c>
      <c r="F8" s="137" t="s">
        <v>58</v>
      </c>
      <c r="G8" s="137" t="s">
        <v>59</v>
      </c>
      <c r="H8" s="137" t="s">
        <v>60</v>
      </c>
      <c r="I8" s="137" t="s">
        <v>61</v>
      </c>
      <c r="J8" s="137" t="s">
        <v>62</v>
      </c>
      <c r="K8" s="137" t="s">
        <v>63</v>
      </c>
      <c r="L8" s="137" t="s">
        <v>64</v>
      </c>
      <c r="M8" s="137" t="s">
        <v>65</v>
      </c>
    </row>
    <row r="9" spans="1:16">
      <c r="B9" s="264" t="s">
        <v>116</v>
      </c>
      <c r="C9" s="264"/>
      <c r="D9" s="28"/>
      <c r="E9" s="28"/>
      <c r="F9" s="28"/>
      <c r="G9" s="28"/>
      <c r="H9" s="28"/>
      <c r="I9" s="28"/>
      <c r="J9" s="28"/>
      <c r="K9" s="28"/>
      <c r="L9" s="28"/>
      <c r="M9" s="28"/>
    </row>
    <row r="10" spans="1:16">
      <c r="B10" s="265" t="s">
        <v>117</v>
      </c>
      <c r="C10" s="265"/>
      <c r="D10" s="40">
        <f>'2. Return on Investment Summary'!D9</f>
        <v>110</v>
      </c>
      <c r="E10" s="40">
        <f>'2. Return on Investment Summary'!D10</f>
        <v>110</v>
      </c>
      <c r="F10" s="40">
        <f>'2. Return on Investment Summary'!D11</f>
        <v>110</v>
      </c>
      <c r="G10" s="40">
        <f>'2. Return on Investment Summary'!D12</f>
        <v>110</v>
      </c>
      <c r="H10" s="40">
        <f>'2. Return on Investment Summary'!D13</f>
        <v>110</v>
      </c>
      <c r="I10" s="40">
        <f>'2. Return on Investment Summary'!D14</f>
        <v>110</v>
      </c>
      <c r="J10" s="40">
        <f>'2. Return on Investment Summary'!D15</f>
        <v>110</v>
      </c>
      <c r="K10" s="40">
        <f>'2. Return on Investment Summary'!D16</f>
        <v>110</v>
      </c>
      <c r="L10" s="40">
        <f>'2. Return on Investment Summary'!D17</f>
        <v>110</v>
      </c>
      <c r="M10" s="40">
        <f>'2. Return on Investment Summary'!D18</f>
        <v>110</v>
      </c>
    </row>
    <row r="11" spans="1:16">
      <c r="B11" s="139" t="str">
        <f>"Revenue @ $"&amp;ROUND('1. Inputs'!H23,2)&amp;" /bbl"</f>
        <v>Revenue @ $33.26 /bbl</v>
      </c>
      <c r="C11" s="139"/>
      <c r="D11" s="41">
        <f>IF('1. Inputs'!$H$23*D10=0,"",'1. Inputs'!$H$23*D10)</f>
        <v>3658.05</v>
      </c>
      <c r="E11" s="41">
        <f>IF('1. Inputs'!$H$23*E10=0,"",'1. Inputs'!$H$23*E10)</f>
        <v>3658.05</v>
      </c>
      <c r="F11" s="41">
        <f>IF('1. Inputs'!$H$23*F10=0,"",'1. Inputs'!$H$23*F10)</f>
        <v>3658.05</v>
      </c>
      <c r="G11" s="41">
        <f>IF('1. Inputs'!$H$23*G10=0,"",'1. Inputs'!$H$23*G10)</f>
        <v>3658.05</v>
      </c>
      <c r="H11" s="41">
        <f>IF('1. Inputs'!$H$23*H10=0,"",'1. Inputs'!$H$23*H10)</f>
        <v>3658.05</v>
      </c>
      <c r="I11" s="41">
        <f>IF('1. Inputs'!$H$23*I10=0,"",'1. Inputs'!$H$23*I10)</f>
        <v>3658.05</v>
      </c>
      <c r="J11" s="41">
        <f>IF('1. Inputs'!$H$23*J10=0,"",'1. Inputs'!$H$23*J10)</f>
        <v>3658.05</v>
      </c>
      <c r="K11" s="41">
        <f>IF('1. Inputs'!$H$23*K10=0,"",'1. Inputs'!$H$23*K10)</f>
        <v>3658.05</v>
      </c>
      <c r="L11" s="41">
        <f>IF('1. Inputs'!$H$23*L10=0,"",'1. Inputs'!$H$23*L10)</f>
        <v>3658.05</v>
      </c>
      <c r="M11" s="41">
        <f>IF('1. Inputs'!$H$23*M10=0,"",'1. Inputs'!$H$23*M10)</f>
        <v>3658.05</v>
      </c>
    </row>
    <row r="12" spans="1:16">
      <c r="B12" s="262" t="s">
        <v>120</v>
      </c>
      <c r="C12" s="262"/>
      <c r="D12" s="42">
        <f>D11</f>
        <v>3658.05</v>
      </c>
      <c r="E12" s="42">
        <f t="shared" ref="E12:M12" si="0">E11</f>
        <v>3658.05</v>
      </c>
      <c r="F12" s="42">
        <f t="shared" si="0"/>
        <v>3658.05</v>
      </c>
      <c r="G12" s="42">
        <f t="shared" si="0"/>
        <v>3658.05</v>
      </c>
      <c r="H12" s="42">
        <f t="shared" si="0"/>
        <v>3658.05</v>
      </c>
      <c r="I12" s="42">
        <f t="shared" si="0"/>
        <v>3658.05</v>
      </c>
      <c r="J12" s="42">
        <f t="shared" si="0"/>
        <v>3658.05</v>
      </c>
      <c r="K12" s="42">
        <f t="shared" si="0"/>
        <v>3658.05</v>
      </c>
      <c r="L12" s="42">
        <f t="shared" si="0"/>
        <v>3658.05</v>
      </c>
      <c r="M12" s="42">
        <f t="shared" si="0"/>
        <v>3658.05</v>
      </c>
    </row>
    <row r="13" spans="1:16">
      <c r="B13" s="266" t="s">
        <v>118</v>
      </c>
      <c r="C13" s="266"/>
      <c r="D13" s="41"/>
      <c r="E13" s="41"/>
      <c r="F13" s="41"/>
      <c r="G13" s="41"/>
      <c r="H13" s="41"/>
      <c r="I13" s="41"/>
      <c r="J13" s="41"/>
      <c r="K13" s="41"/>
      <c r="L13" s="41"/>
      <c r="M13" s="41"/>
    </row>
    <row r="14" spans="1:16">
      <c r="B14" s="261" t="s">
        <v>0</v>
      </c>
      <c r="C14" s="261"/>
      <c r="D14" s="41">
        <f>IF('1. Inputs'!$F31=0,"",'1. Inputs'!$F31)</f>
        <v>400</v>
      </c>
      <c r="E14" s="41">
        <f>IF('1. Inputs'!$F31=0,"",'1. Inputs'!$F31)</f>
        <v>400</v>
      </c>
      <c r="F14" s="41">
        <f>IF('1. Inputs'!$F31=0,"",'1. Inputs'!$F31)</f>
        <v>400</v>
      </c>
      <c r="G14" s="41">
        <f>IF('1. Inputs'!$F31=0,"",'1. Inputs'!$F31)</f>
        <v>400</v>
      </c>
      <c r="H14" s="41">
        <f>IF('1. Inputs'!$F31=0,"",'1. Inputs'!$F31)</f>
        <v>400</v>
      </c>
      <c r="I14" s="41">
        <f>IF('1. Inputs'!$F31=0,"",'1. Inputs'!$F31)</f>
        <v>400</v>
      </c>
      <c r="J14" s="41">
        <f>IF('1. Inputs'!$F31=0,"",'1. Inputs'!$F31)</f>
        <v>400</v>
      </c>
      <c r="K14" s="41">
        <f>IF('1. Inputs'!$F31=0,"",'1. Inputs'!$F31)</f>
        <v>400</v>
      </c>
      <c r="L14" s="41">
        <f>IF('1. Inputs'!$F31=0,"",'1. Inputs'!$F31)</f>
        <v>400</v>
      </c>
      <c r="M14" s="41">
        <f>IF('1. Inputs'!$F31=0,"",'1. Inputs'!$F31)</f>
        <v>400</v>
      </c>
    </row>
    <row r="15" spans="1:16">
      <c r="B15" s="261" t="s">
        <v>7</v>
      </c>
      <c r="C15" s="261"/>
      <c r="D15" s="41">
        <f>IF('1. Inputs'!$F32=0,"",'1. Inputs'!$F32)</f>
        <v>400</v>
      </c>
      <c r="E15" s="41">
        <f>IF('1. Inputs'!$F32=0,"",'1. Inputs'!$F32)</f>
        <v>400</v>
      </c>
      <c r="F15" s="41">
        <f>IF('1. Inputs'!$F32=0,"",'1. Inputs'!$F32)</f>
        <v>400</v>
      </c>
      <c r="G15" s="41">
        <f>IF('1. Inputs'!$F32=0,"",'1. Inputs'!$F32)</f>
        <v>400</v>
      </c>
      <c r="H15" s="41">
        <f>IF('1. Inputs'!$F32=0,"",'1. Inputs'!$F32)</f>
        <v>400</v>
      </c>
      <c r="I15" s="41">
        <f>IF('1. Inputs'!$F32=0,"",'1. Inputs'!$F32)</f>
        <v>400</v>
      </c>
      <c r="J15" s="41">
        <f>IF('1. Inputs'!$F32=0,"",'1. Inputs'!$F32)</f>
        <v>400</v>
      </c>
      <c r="K15" s="41">
        <f>IF('1. Inputs'!$F32=0,"",'1. Inputs'!$F32)</f>
        <v>400</v>
      </c>
      <c r="L15" s="41">
        <f>IF('1. Inputs'!$F32=0,"",'1. Inputs'!$F32)</f>
        <v>400</v>
      </c>
      <c r="M15" s="41">
        <f>IF('1. Inputs'!$F32=0,"",'1. Inputs'!$F32)</f>
        <v>400</v>
      </c>
    </row>
    <row r="16" spans="1:16">
      <c r="B16" s="261" t="s">
        <v>8</v>
      </c>
      <c r="C16" s="261"/>
      <c r="D16" s="41">
        <f>IF('1. Inputs'!$F33=0,"",'1. Inputs'!$F33)</f>
        <v>400</v>
      </c>
      <c r="E16" s="41">
        <f>IF('1. Inputs'!$F33=0,"",'1. Inputs'!$F33)</f>
        <v>400</v>
      </c>
      <c r="F16" s="41">
        <f>IF('1. Inputs'!$F33=0,"",'1. Inputs'!$F33)</f>
        <v>400</v>
      </c>
      <c r="G16" s="41">
        <f>IF('1. Inputs'!$F33=0,"",'1. Inputs'!$F33)</f>
        <v>400</v>
      </c>
      <c r="H16" s="41">
        <f>IF('1. Inputs'!$F33=0,"",'1. Inputs'!$F33)</f>
        <v>400</v>
      </c>
      <c r="I16" s="41">
        <f>IF('1. Inputs'!$F33=0,"",'1. Inputs'!$F33)</f>
        <v>400</v>
      </c>
      <c r="J16" s="41">
        <f>IF('1. Inputs'!$F33=0,"",'1. Inputs'!$F33)</f>
        <v>400</v>
      </c>
      <c r="K16" s="41">
        <f>IF('1. Inputs'!$F33=0,"",'1. Inputs'!$F33)</f>
        <v>400</v>
      </c>
      <c r="L16" s="41">
        <f>IF('1. Inputs'!$F33=0,"",'1. Inputs'!$F33)</f>
        <v>400</v>
      </c>
      <c r="M16" s="41">
        <f>IF('1. Inputs'!$F33=0,"",'1. Inputs'!$F33)</f>
        <v>400</v>
      </c>
    </row>
    <row r="17" spans="2:13">
      <c r="B17" s="261" t="s">
        <v>9</v>
      </c>
      <c r="C17" s="261"/>
      <c r="D17" s="41">
        <f>IF('1. Inputs'!$F34=0,"",'1. Inputs'!$F34)</f>
        <v>100</v>
      </c>
      <c r="E17" s="41">
        <f>IF('1. Inputs'!$F34=0,"",'1. Inputs'!$F34)</f>
        <v>100</v>
      </c>
      <c r="F17" s="41">
        <f>IF('1. Inputs'!$F34=0,"",'1. Inputs'!$F34)</f>
        <v>100</v>
      </c>
      <c r="G17" s="41">
        <f>IF('1. Inputs'!$F34=0,"",'1. Inputs'!$F34)</f>
        <v>100</v>
      </c>
      <c r="H17" s="41">
        <f>IF('1. Inputs'!$F34=0,"",'1. Inputs'!$F34)</f>
        <v>100</v>
      </c>
      <c r="I17" s="41">
        <f>IF('1. Inputs'!$F34=0,"",'1. Inputs'!$F34)</f>
        <v>100</v>
      </c>
      <c r="J17" s="41">
        <f>IF('1. Inputs'!$F34=0,"",'1. Inputs'!$F34)</f>
        <v>100</v>
      </c>
      <c r="K17" s="41">
        <f>IF('1. Inputs'!$F34=0,"",'1. Inputs'!$F34)</f>
        <v>100</v>
      </c>
      <c r="L17" s="41">
        <f>IF('1. Inputs'!$F34=0,"",'1. Inputs'!$F34)</f>
        <v>100</v>
      </c>
      <c r="M17" s="41">
        <f>IF('1. Inputs'!$F34=0,"",'1. Inputs'!$F34)</f>
        <v>100</v>
      </c>
    </row>
    <row r="18" spans="2:13">
      <c r="B18" s="261" t="s">
        <v>32</v>
      </c>
      <c r="C18" s="261"/>
      <c r="D18" s="41">
        <f>IF('1. Inputs'!$F35=0,"",'1. Inputs'!$F35)</f>
        <v>500</v>
      </c>
      <c r="E18" s="41">
        <f>IF('1. Inputs'!$F35=0,"",'1. Inputs'!$F35)</f>
        <v>500</v>
      </c>
      <c r="F18" s="41">
        <f>IF('1. Inputs'!$F35=0,"",'1. Inputs'!$F35)</f>
        <v>500</v>
      </c>
      <c r="G18" s="41">
        <f>IF('1. Inputs'!$F35=0,"",'1. Inputs'!$F35)</f>
        <v>500</v>
      </c>
      <c r="H18" s="41">
        <f>IF('1. Inputs'!$F35=0,"",'1. Inputs'!$F35)</f>
        <v>500</v>
      </c>
      <c r="I18" s="41">
        <f>IF('1. Inputs'!$F35=0,"",'1. Inputs'!$F35)</f>
        <v>500</v>
      </c>
      <c r="J18" s="41">
        <f>IF('1. Inputs'!$F35=0,"",'1. Inputs'!$F35)</f>
        <v>500</v>
      </c>
      <c r="K18" s="41">
        <f>IF('1. Inputs'!$F35=0,"",'1. Inputs'!$F35)</f>
        <v>500</v>
      </c>
      <c r="L18" s="41">
        <f>IF('1. Inputs'!$F35=0,"",'1. Inputs'!$F35)</f>
        <v>500</v>
      </c>
      <c r="M18" s="41">
        <f>IF('1. Inputs'!$F35=0,"",'1. Inputs'!$F35)</f>
        <v>500</v>
      </c>
    </row>
    <row r="19" spans="2:13">
      <c r="B19" s="261" t="s">
        <v>33</v>
      </c>
      <c r="C19" s="261"/>
      <c r="D19" s="41">
        <f>IF('1. Inputs'!$F36=0,"",'1. Inputs'!$F36)</f>
        <v>250</v>
      </c>
      <c r="E19" s="41">
        <f>IF('1. Inputs'!$F36=0,"",'1. Inputs'!$F36)</f>
        <v>250</v>
      </c>
      <c r="F19" s="41">
        <f>IF('1. Inputs'!$F36=0,"",'1. Inputs'!$F36)</f>
        <v>250</v>
      </c>
      <c r="G19" s="41">
        <f>IF('1. Inputs'!$F36=0,"",'1. Inputs'!$F36)</f>
        <v>250</v>
      </c>
      <c r="H19" s="41">
        <f>IF('1. Inputs'!$F36=0,"",'1. Inputs'!$F36)</f>
        <v>250</v>
      </c>
      <c r="I19" s="41">
        <f>IF('1. Inputs'!$F36=0,"",'1. Inputs'!$F36)</f>
        <v>250</v>
      </c>
      <c r="J19" s="41">
        <f>IF('1. Inputs'!$F36=0,"",'1. Inputs'!$F36)</f>
        <v>250</v>
      </c>
      <c r="K19" s="41">
        <f>IF('1. Inputs'!$F36=0,"",'1. Inputs'!$F36)</f>
        <v>250</v>
      </c>
      <c r="L19" s="41">
        <f>IF('1. Inputs'!$F36=0,"",'1. Inputs'!$F36)</f>
        <v>250</v>
      </c>
      <c r="M19" s="41">
        <f>IF('1. Inputs'!$F36=0,"",'1. Inputs'!$F36)</f>
        <v>250</v>
      </c>
    </row>
    <row r="20" spans="2:13">
      <c r="B20" s="261" t="s">
        <v>12</v>
      </c>
      <c r="C20" s="261"/>
      <c r="D20" s="41">
        <f>IF('1. Inputs'!$F37=0,"",'1. Inputs'!$F37)</f>
        <v>400</v>
      </c>
      <c r="E20" s="41">
        <f>IF('1. Inputs'!$F37=0,"",'1. Inputs'!$F37)</f>
        <v>400</v>
      </c>
      <c r="F20" s="41">
        <f>IF('1. Inputs'!$F37=0,"",'1. Inputs'!$F37)</f>
        <v>400</v>
      </c>
      <c r="G20" s="41">
        <f>IF('1. Inputs'!$F37=0,"",'1. Inputs'!$F37)</f>
        <v>400</v>
      </c>
      <c r="H20" s="41">
        <f>IF('1. Inputs'!$F37=0,"",'1. Inputs'!$F37)</f>
        <v>400</v>
      </c>
      <c r="I20" s="41">
        <f>IF('1. Inputs'!$F37=0,"",'1. Inputs'!$F37)</f>
        <v>400</v>
      </c>
      <c r="J20" s="41">
        <f>IF('1. Inputs'!$F37=0,"",'1. Inputs'!$F37)</f>
        <v>400</v>
      </c>
      <c r="K20" s="41">
        <f>IF('1. Inputs'!$F37=0,"",'1. Inputs'!$F37)</f>
        <v>400</v>
      </c>
      <c r="L20" s="41">
        <f>IF('1. Inputs'!$F37=0,"",'1. Inputs'!$F37)</f>
        <v>400</v>
      </c>
      <c r="M20" s="41">
        <f>IF('1. Inputs'!$F37=0,"",'1. Inputs'!$F37)</f>
        <v>400</v>
      </c>
    </row>
    <row r="21" spans="2:13">
      <c r="B21" s="261" t="s">
        <v>165</v>
      </c>
      <c r="C21" s="261"/>
      <c r="D21" s="41">
        <f>IF('1. Inputs'!$F38=0,"",'1. Inputs'!$F38)</f>
        <v>100</v>
      </c>
      <c r="E21" s="41">
        <f>IF('1. Inputs'!$F38=0,"",'1. Inputs'!$F38)</f>
        <v>100</v>
      </c>
      <c r="F21" s="41">
        <f>IF('1. Inputs'!$F38=0,"",'1. Inputs'!$F38)</f>
        <v>100</v>
      </c>
      <c r="G21" s="41">
        <f>IF('1. Inputs'!$F38=0,"",'1. Inputs'!$F38)</f>
        <v>100</v>
      </c>
      <c r="H21" s="41">
        <f>IF('1. Inputs'!$F38=0,"",'1. Inputs'!$F38)</f>
        <v>100</v>
      </c>
      <c r="I21" s="41">
        <f>IF('1. Inputs'!$F38=0,"",'1. Inputs'!$F38)</f>
        <v>100</v>
      </c>
      <c r="J21" s="41">
        <f>IF('1. Inputs'!$F38=0,"",'1. Inputs'!$F38)</f>
        <v>100</v>
      </c>
      <c r="K21" s="41">
        <f>IF('1. Inputs'!$F38=0,"",'1. Inputs'!$F38)</f>
        <v>100</v>
      </c>
      <c r="L21" s="41">
        <f>IF('1. Inputs'!$F38=0,"",'1. Inputs'!$F38)</f>
        <v>100</v>
      </c>
      <c r="M21" s="41">
        <f>IF('1. Inputs'!$F38=0,"",'1. Inputs'!$F38)</f>
        <v>100</v>
      </c>
    </row>
    <row r="22" spans="2:13">
      <c r="B22" s="261" t="s">
        <v>14</v>
      </c>
      <c r="C22" s="261"/>
      <c r="D22" s="41">
        <f>IF('1. Inputs'!$F39=0,"",'1. Inputs'!$F39)</f>
        <v>150</v>
      </c>
      <c r="E22" s="41">
        <f>IF('1. Inputs'!$F39=0,"",'1. Inputs'!$F39)</f>
        <v>150</v>
      </c>
      <c r="F22" s="41">
        <f>IF('1. Inputs'!$F39=0,"",'1. Inputs'!$F39)</f>
        <v>150</v>
      </c>
      <c r="G22" s="41">
        <f>IF('1. Inputs'!$F39=0,"",'1. Inputs'!$F39)</f>
        <v>150</v>
      </c>
      <c r="H22" s="41">
        <f>IF('1. Inputs'!$F39=0,"",'1. Inputs'!$F39)</f>
        <v>150</v>
      </c>
      <c r="I22" s="41">
        <f>IF('1. Inputs'!$F39=0,"",'1. Inputs'!$F39)</f>
        <v>150</v>
      </c>
      <c r="J22" s="41">
        <f>IF('1. Inputs'!$F39=0,"",'1. Inputs'!$F39)</f>
        <v>150</v>
      </c>
      <c r="K22" s="41">
        <f>IF('1. Inputs'!$F39=0,"",'1. Inputs'!$F39)</f>
        <v>150</v>
      </c>
      <c r="L22" s="41">
        <f>IF('1. Inputs'!$F39=0,"",'1. Inputs'!$F39)</f>
        <v>150</v>
      </c>
      <c r="M22" s="41">
        <f>IF('1. Inputs'!$F39=0,"",'1. Inputs'!$F39)</f>
        <v>150</v>
      </c>
    </row>
    <row r="23" spans="2:13">
      <c r="B23" s="261" t="s">
        <v>13</v>
      </c>
      <c r="C23" s="261"/>
      <c r="D23" s="41">
        <f>IF('1. Inputs'!$F40=0,"",'1. Inputs'!$F40)</f>
        <v>500</v>
      </c>
      <c r="E23" s="41">
        <f>IF('1. Inputs'!$F40=0,"",'1. Inputs'!$F40)</f>
        <v>500</v>
      </c>
      <c r="F23" s="41">
        <f>IF('1. Inputs'!$F40=0,"",'1. Inputs'!$F40)</f>
        <v>500</v>
      </c>
      <c r="G23" s="41">
        <f>IF('1. Inputs'!$F40=0,"",'1. Inputs'!$F40)</f>
        <v>500</v>
      </c>
      <c r="H23" s="41">
        <f>IF('1. Inputs'!$F40=0,"",'1. Inputs'!$F40)</f>
        <v>500</v>
      </c>
      <c r="I23" s="41">
        <f>IF('1. Inputs'!$F40=0,"",'1. Inputs'!$F40)</f>
        <v>500</v>
      </c>
      <c r="J23" s="41">
        <f>IF('1. Inputs'!$F40=0,"",'1. Inputs'!$F40)</f>
        <v>500</v>
      </c>
      <c r="K23" s="41">
        <f>IF('1. Inputs'!$F40=0,"",'1. Inputs'!$F40)</f>
        <v>500</v>
      </c>
      <c r="L23" s="41">
        <f>IF('1. Inputs'!$F40=0,"",'1. Inputs'!$F40)</f>
        <v>500</v>
      </c>
      <c r="M23" s="41">
        <f>IF('1. Inputs'!$F40=0,"",'1. Inputs'!$F40)</f>
        <v>500</v>
      </c>
    </row>
    <row r="24" spans="2:13">
      <c r="B24" s="261" t="s">
        <v>19</v>
      </c>
      <c r="C24" s="261"/>
      <c r="D24" s="41">
        <f>IF('1. Inputs'!$F41=0,"",'1. Inputs'!$F41)</f>
        <v>250</v>
      </c>
      <c r="E24" s="41">
        <f>IF('1. Inputs'!$F41=0,"",'1. Inputs'!$F41)</f>
        <v>250</v>
      </c>
      <c r="F24" s="41">
        <f>IF('1. Inputs'!$F41=0,"",'1. Inputs'!$F41)</f>
        <v>250</v>
      </c>
      <c r="G24" s="41">
        <f>IF('1. Inputs'!$F41=0,"",'1. Inputs'!$F41)</f>
        <v>250</v>
      </c>
      <c r="H24" s="41">
        <f>IF('1. Inputs'!$F41=0,"",'1. Inputs'!$F41)</f>
        <v>250</v>
      </c>
      <c r="I24" s="41">
        <f>IF('1. Inputs'!$F41=0,"",'1. Inputs'!$F41)</f>
        <v>250</v>
      </c>
      <c r="J24" s="41">
        <f>IF('1. Inputs'!$F41=0,"",'1. Inputs'!$F41)</f>
        <v>250</v>
      </c>
      <c r="K24" s="41">
        <f>IF('1. Inputs'!$F41=0,"",'1. Inputs'!$F41)</f>
        <v>250</v>
      </c>
      <c r="L24" s="41">
        <f>IF('1. Inputs'!$F41=0,"",'1. Inputs'!$F41)</f>
        <v>250</v>
      </c>
      <c r="M24" s="41">
        <f>IF('1. Inputs'!$F41=0,"",'1. Inputs'!$F41)</f>
        <v>250</v>
      </c>
    </row>
    <row r="25" spans="2:13">
      <c r="B25" s="261" t="s">
        <v>166</v>
      </c>
      <c r="C25" s="261"/>
      <c r="D25" s="41">
        <f>IF('1. Inputs'!$F42=0,"",'1. Inputs'!$F42)</f>
        <v>100</v>
      </c>
      <c r="E25" s="41">
        <f>IF('1. Inputs'!$F42=0,"",'1. Inputs'!$F42)</f>
        <v>100</v>
      </c>
      <c r="F25" s="41">
        <f>IF('1. Inputs'!$F42=0,"",'1. Inputs'!$F42)</f>
        <v>100</v>
      </c>
      <c r="G25" s="41">
        <f>IF('1. Inputs'!$F42=0,"",'1. Inputs'!$F42)</f>
        <v>100</v>
      </c>
      <c r="H25" s="41">
        <f>IF('1. Inputs'!$F42=0,"",'1. Inputs'!$F42)</f>
        <v>100</v>
      </c>
      <c r="I25" s="41">
        <f>IF('1. Inputs'!$F42=0,"",'1. Inputs'!$F42)</f>
        <v>100</v>
      </c>
      <c r="J25" s="41">
        <f>IF('1. Inputs'!$F42=0,"",'1. Inputs'!$F42)</f>
        <v>100</v>
      </c>
      <c r="K25" s="41">
        <f>IF('1. Inputs'!$F42=0,"",'1. Inputs'!$F42)</f>
        <v>100</v>
      </c>
      <c r="L25" s="41">
        <f>IF('1. Inputs'!$F42=0,"",'1. Inputs'!$F42)</f>
        <v>100</v>
      </c>
      <c r="M25" s="41">
        <f>IF('1. Inputs'!$F42=0,"",'1. Inputs'!$F42)</f>
        <v>100</v>
      </c>
    </row>
    <row r="26" spans="2:13">
      <c r="B26" s="261" t="s">
        <v>20</v>
      </c>
      <c r="C26" s="261"/>
      <c r="D26" s="41">
        <f>IF('1. Inputs'!$F43=0,"",'1. Inputs'!$F43)</f>
        <v>100</v>
      </c>
      <c r="E26" s="41">
        <f>IF('1. Inputs'!$F43=0,"",'1. Inputs'!$F43)</f>
        <v>100</v>
      </c>
      <c r="F26" s="41">
        <f>IF('1. Inputs'!$F43=0,"",'1. Inputs'!$F43)</f>
        <v>100</v>
      </c>
      <c r="G26" s="41">
        <f>IF('1. Inputs'!$F43=0,"",'1. Inputs'!$F43)</f>
        <v>100</v>
      </c>
      <c r="H26" s="41">
        <f>IF('1. Inputs'!$F43=0,"",'1. Inputs'!$F43)</f>
        <v>100</v>
      </c>
      <c r="I26" s="41">
        <f>IF('1. Inputs'!$F43=0,"",'1. Inputs'!$F43)</f>
        <v>100</v>
      </c>
      <c r="J26" s="41">
        <f>IF('1. Inputs'!$F43=0,"",'1. Inputs'!$F43)</f>
        <v>100</v>
      </c>
      <c r="K26" s="41">
        <f>IF('1. Inputs'!$F43=0,"",'1. Inputs'!$F43)</f>
        <v>100</v>
      </c>
      <c r="L26" s="41">
        <f>IF('1. Inputs'!$F43=0,"",'1. Inputs'!$F43)</f>
        <v>100</v>
      </c>
      <c r="M26" s="41">
        <f>IF('1. Inputs'!$F43=0,"",'1. Inputs'!$F43)</f>
        <v>100</v>
      </c>
    </row>
    <row r="27" spans="2:13">
      <c r="B27" s="261" t="s">
        <v>21</v>
      </c>
      <c r="C27" s="261"/>
      <c r="D27" s="41">
        <f>IF('1. Inputs'!$F44=0,"",'1. Inputs'!$F44)</f>
        <v>20</v>
      </c>
      <c r="E27" s="41">
        <f>IF('1. Inputs'!$F44=0,"",'1. Inputs'!$F44)</f>
        <v>20</v>
      </c>
      <c r="F27" s="41">
        <f>IF('1. Inputs'!$F44=0,"",'1. Inputs'!$F44)</f>
        <v>20</v>
      </c>
      <c r="G27" s="41">
        <f>IF('1. Inputs'!$F44=0,"",'1. Inputs'!$F44)</f>
        <v>20</v>
      </c>
      <c r="H27" s="41">
        <f>IF('1. Inputs'!$F44=0,"",'1. Inputs'!$F44)</f>
        <v>20</v>
      </c>
      <c r="I27" s="41">
        <f>IF('1. Inputs'!$F44=0,"",'1. Inputs'!$F44)</f>
        <v>20</v>
      </c>
      <c r="J27" s="41">
        <f>IF('1. Inputs'!$F44=0,"",'1. Inputs'!$F44)</f>
        <v>20</v>
      </c>
      <c r="K27" s="41">
        <f>IF('1. Inputs'!$F44=0,"",'1. Inputs'!$F44)</f>
        <v>20</v>
      </c>
      <c r="L27" s="41">
        <f>IF('1. Inputs'!$F44=0,"",'1. Inputs'!$F44)</f>
        <v>20</v>
      </c>
      <c r="M27" s="41">
        <f>IF('1. Inputs'!$F44=0,"",'1. Inputs'!$F44)</f>
        <v>20</v>
      </c>
    </row>
    <row r="28" spans="2:13">
      <c r="B28" s="261" t="s">
        <v>22</v>
      </c>
      <c r="C28" s="261"/>
      <c r="D28" s="41">
        <f>IF('1. Inputs'!$F45=0,"",'1. Inputs'!$F45)</f>
        <v>50</v>
      </c>
      <c r="E28" s="41">
        <f>IF('1. Inputs'!$F45=0,"",'1. Inputs'!$F45)</f>
        <v>50</v>
      </c>
      <c r="F28" s="41">
        <f>IF('1. Inputs'!$F45=0,"",'1. Inputs'!$F45)</f>
        <v>50</v>
      </c>
      <c r="G28" s="41">
        <f>IF('1. Inputs'!$F45=0,"",'1. Inputs'!$F45)</f>
        <v>50</v>
      </c>
      <c r="H28" s="41">
        <f>IF('1. Inputs'!$F45=0,"",'1. Inputs'!$F45)</f>
        <v>50</v>
      </c>
      <c r="I28" s="41">
        <f>IF('1. Inputs'!$F45=0,"",'1. Inputs'!$F45)</f>
        <v>50</v>
      </c>
      <c r="J28" s="41">
        <f>IF('1. Inputs'!$F45=0,"",'1. Inputs'!$F45)</f>
        <v>50</v>
      </c>
      <c r="K28" s="41">
        <f>IF('1. Inputs'!$F45=0,"",'1. Inputs'!$F45)</f>
        <v>50</v>
      </c>
      <c r="L28" s="41">
        <f>IF('1. Inputs'!$F45=0,"",'1. Inputs'!$F45)</f>
        <v>50</v>
      </c>
      <c r="M28" s="41">
        <f>IF('1. Inputs'!$F45=0,"",'1. Inputs'!$F45)</f>
        <v>50</v>
      </c>
    </row>
    <row r="29" spans="2:13">
      <c r="B29" s="261" t="s">
        <v>167</v>
      </c>
      <c r="C29" s="261"/>
      <c r="D29" s="41" t="str">
        <f>IF('1. Inputs'!$F46=0,"",'1. Inputs'!$F46)</f>
        <v/>
      </c>
      <c r="E29" s="41" t="str">
        <f>IF('1. Inputs'!$F46=0,"",'1. Inputs'!$F46)</f>
        <v/>
      </c>
      <c r="F29" s="41" t="str">
        <f>IF('1. Inputs'!$F46=0,"",'1. Inputs'!$F46)</f>
        <v/>
      </c>
      <c r="G29" s="41" t="str">
        <f>IF('1. Inputs'!$F46=0,"",'1. Inputs'!$F46)</f>
        <v/>
      </c>
      <c r="H29" s="41" t="str">
        <f>IF('1. Inputs'!$F46=0,"",'1. Inputs'!$F46)</f>
        <v/>
      </c>
      <c r="I29" s="41" t="str">
        <f>IF('1. Inputs'!$F46=0,"",'1. Inputs'!$F46)</f>
        <v/>
      </c>
      <c r="J29" s="41" t="str">
        <f>IF('1. Inputs'!$F46=0,"",'1. Inputs'!$F46)</f>
        <v/>
      </c>
      <c r="K29" s="41" t="str">
        <f>IF('1. Inputs'!$F46=0,"",'1. Inputs'!$F46)</f>
        <v/>
      </c>
      <c r="L29" s="41" t="str">
        <f>IF('1. Inputs'!$F46=0,"",'1. Inputs'!$F46)</f>
        <v/>
      </c>
      <c r="M29" s="41" t="str">
        <f>IF('1. Inputs'!$F46=0,"",'1. Inputs'!$F46)</f>
        <v/>
      </c>
    </row>
    <row r="30" spans="2:13">
      <c r="B30" s="261" t="s">
        <v>168</v>
      </c>
      <c r="C30" s="261"/>
      <c r="D30" s="41" t="str">
        <f>IF('1. Inputs'!$F47=0,"",'1. Inputs'!$F47)</f>
        <v/>
      </c>
      <c r="E30" s="41" t="str">
        <f>IF('1. Inputs'!$F47=0,"",'1. Inputs'!$F47)</f>
        <v/>
      </c>
      <c r="F30" s="41" t="str">
        <f>IF('1. Inputs'!$F47=0,"",'1. Inputs'!$F47)</f>
        <v/>
      </c>
      <c r="G30" s="41" t="str">
        <f>IF('1. Inputs'!$F47=0,"",'1. Inputs'!$F47)</f>
        <v/>
      </c>
      <c r="H30" s="41" t="str">
        <f>IF('1. Inputs'!$F47=0,"",'1. Inputs'!$F47)</f>
        <v/>
      </c>
      <c r="I30" s="41" t="str">
        <f>IF('1. Inputs'!$F47=0,"",'1. Inputs'!$F47)</f>
        <v/>
      </c>
      <c r="J30" s="41" t="str">
        <f>IF('1. Inputs'!$F47=0,"",'1. Inputs'!$F47)</f>
        <v/>
      </c>
      <c r="K30" s="41" t="str">
        <f>IF('1. Inputs'!$F47=0,"",'1. Inputs'!$F47)</f>
        <v/>
      </c>
      <c r="L30" s="41" t="str">
        <f>IF('1. Inputs'!$F47=0,"",'1. Inputs'!$F47)</f>
        <v/>
      </c>
      <c r="M30" s="41" t="str">
        <f>IF('1. Inputs'!$F47=0,"",'1. Inputs'!$F47)</f>
        <v/>
      </c>
    </row>
    <row r="31" spans="2:13">
      <c r="B31" s="262" t="s">
        <v>119</v>
      </c>
      <c r="C31" s="262"/>
      <c r="D31" s="42">
        <f>SUM(D14:D30)</f>
        <v>3720</v>
      </c>
      <c r="E31" s="42">
        <f t="shared" ref="E31:M31" si="1">SUM(E14:E30)</f>
        <v>3720</v>
      </c>
      <c r="F31" s="42">
        <f t="shared" si="1"/>
        <v>3720</v>
      </c>
      <c r="G31" s="42">
        <f t="shared" si="1"/>
        <v>3720</v>
      </c>
      <c r="H31" s="42">
        <f t="shared" si="1"/>
        <v>3720</v>
      </c>
      <c r="I31" s="42">
        <f t="shared" si="1"/>
        <v>3720</v>
      </c>
      <c r="J31" s="42">
        <f t="shared" si="1"/>
        <v>3720</v>
      </c>
      <c r="K31" s="42">
        <f t="shared" si="1"/>
        <v>3720</v>
      </c>
      <c r="L31" s="42">
        <f t="shared" si="1"/>
        <v>3720</v>
      </c>
      <c r="M31" s="42">
        <f t="shared" si="1"/>
        <v>3720</v>
      </c>
    </row>
    <row r="32" spans="2:13">
      <c r="B32" s="263" t="s">
        <v>121</v>
      </c>
      <c r="C32" s="263"/>
      <c r="D32" s="42">
        <f>SUM(D12, D31*-1)</f>
        <v>-61.949999999999818</v>
      </c>
      <c r="E32" s="42">
        <f t="shared" ref="E32:M32" si="2">SUM(E12, E31*-1)</f>
        <v>-61.949999999999818</v>
      </c>
      <c r="F32" s="42">
        <f t="shared" si="2"/>
        <v>-61.949999999999818</v>
      </c>
      <c r="G32" s="42">
        <f t="shared" si="2"/>
        <v>-61.949999999999818</v>
      </c>
      <c r="H32" s="42">
        <f t="shared" si="2"/>
        <v>-61.949999999999818</v>
      </c>
      <c r="I32" s="42">
        <f t="shared" si="2"/>
        <v>-61.949999999999818</v>
      </c>
      <c r="J32" s="42">
        <f t="shared" si="2"/>
        <v>-61.949999999999818</v>
      </c>
      <c r="K32" s="42">
        <f t="shared" si="2"/>
        <v>-61.949999999999818</v>
      </c>
      <c r="L32" s="42">
        <f t="shared" si="2"/>
        <v>-61.949999999999818</v>
      </c>
      <c r="M32" s="42">
        <f t="shared" si="2"/>
        <v>-61.949999999999818</v>
      </c>
    </row>
    <row r="33" spans="2:13">
      <c r="B33" s="267" t="s">
        <v>122</v>
      </c>
      <c r="C33" s="267"/>
      <c r="D33" s="45">
        <f>D32</f>
        <v>-61.949999999999818</v>
      </c>
      <c r="E33" s="45">
        <f>E32+D33</f>
        <v>-123.89999999999964</v>
      </c>
      <c r="F33" s="45">
        <f t="shared" ref="F33:L33" si="3">F32+E33</f>
        <v>-185.84999999999945</v>
      </c>
      <c r="G33" s="45">
        <f t="shared" si="3"/>
        <v>-247.79999999999927</v>
      </c>
      <c r="H33" s="45">
        <f t="shared" si="3"/>
        <v>-309.74999999999909</v>
      </c>
      <c r="I33" s="45">
        <f t="shared" si="3"/>
        <v>-371.69999999999891</v>
      </c>
      <c r="J33" s="45">
        <f t="shared" si="3"/>
        <v>-433.64999999999873</v>
      </c>
      <c r="K33" s="45">
        <f t="shared" si="3"/>
        <v>-495.59999999999854</v>
      </c>
      <c r="L33" s="45">
        <f t="shared" si="3"/>
        <v>-557.54999999999836</v>
      </c>
      <c r="M33" s="45">
        <f>M32+L33</f>
        <v>-619.49999999999818</v>
      </c>
    </row>
    <row r="36" spans="2:13" ht="18.5">
      <c r="B36" s="19" t="s">
        <v>27</v>
      </c>
    </row>
    <row r="37" spans="2:13" ht="7" customHeight="1"/>
    <row r="38" spans="2:13" ht="15.5">
      <c r="B38" s="20" t="s">
        <v>43</v>
      </c>
      <c r="C38" s="33"/>
      <c r="D38" s="47" t="str">
        <f>"VARIETY:  "&amp;UPPER('1. Inputs'!C6)</f>
        <v xml:space="preserve">VARIETY:  </v>
      </c>
    </row>
    <row r="39" spans="2:13">
      <c r="B39" s="260"/>
      <c r="C39" s="260"/>
      <c r="D39" s="137" t="s">
        <v>66</v>
      </c>
      <c r="E39" s="137" t="s">
        <v>57</v>
      </c>
      <c r="F39" s="137" t="s">
        <v>58</v>
      </c>
      <c r="G39" s="137" t="s">
        <v>59</v>
      </c>
      <c r="H39" s="137" t="s">
        <v>60</v>
      </c>
      <c r="I39" s="137" t="s">
        <v>61</v>
      </c>
      <c r="J39" s="137" t="s">
        <v>62</v>
      </c>
      <c r="K39" s="137" t="s">
        <v>63</v>
      </c>
      <c r="L39" s="137" t="s">
        <v>64</v>
      </c>
      <c r="M39" s="137" t="s">
        <v>65</v>
      </c>
    </row>
    <row r="40" spans="2:13">
      <c r="B40" s="264" t="s">
        <v>116</v>
      </c>
      <c r="C40" s="264"/>
      <c r="D40" s="28"/>
      <c r="E40" s="28"/>
      <c r="F40" s="28"/>
      <c r="G40" s="28"/>
      <c r="H40" s="28"/>
      <c r="I40" s="28"/>
      <c r="J40" s="28"/>
      <c r="K40" s="28"/>
      <c r="L40" s="28"/>
      <c r="M40" s="28"/>
    </row>
    <row r="41" spans="2:13">
      <c r="B41" s="265" t="s">
        <v>117</v>
      </c>
      <c r="C41" s="265"/>
      <c r="D41" s="40">
        <f>'2. Return on Investment Summary'!D26</f>
        <v>55</v>
      </c>
      <c r="E41" s="40">
        <f>'2. Return on Investment Summary'!D27</f>
        <v>148.5</v>
      </c>
      <c r="F41" s="40">
        <f>'2. Return on Investment Summary'!D28</f>
        <v>137.5</v>
      </c>
      <c r="G41" s="40">
        <f>'2. Return on Investment Summary'!D29</f>
        <v>137.5</v>
      </c>
      <c r="H41" s="40">
        <f>'2. Return on Investment Summary'!D30</f>
        <v>137.5</v>
      </c>
      <c r="I41" s="40">
        <f>'2. Return on Investment Summary'!D31</f>
        <v>68.75</v>
      </c>
      <c r="J41" s="40">
        <f>'2. Return on Investment Summary'!D32</f>
        <v>185.625</v>
      </c>
      <c r="K41" s="40">
        <f>'2. Return on Investment Summary'!D33</f>
        <v>171.875</v>
      </c>
      <c r="L41" s="40">
        <f>'2. Return on Investment Summary'!D34</f>
        <v>171.875</v>
      </c>
      <c r="M41" s="40">
        <f>'2. Return on Investment Summary'!D35</f>
        <v>171.875</v>
      </c>
    </row>
    <row r="42" spans="2:13">
      <c r="B42" s="139" t="str">
        <f>"Revenue @ $"&amp;ROUND('1. Inputs'!$H$23,2)&amp;" /bbl"</f>
        <v>Revenue @ $33.26 /bbl</v>
      </c>
      <c r="C42" s="139"/>
      <c r="D42" s="41">
        <f>IF('1. Inputs'!$H$23*D41=0,"",'1. Inputs'!$H$23*D41)</f>
        <v>1829.0250000000001</v>
      </c>
      <c r="E42" s="41">
        <f>IF('1. Inputs'!$H$23*E41=0,"",'1. Inputs'!$H$23*E41)</f>
        <v>4938.3675000000003</v>
      </c>
      <c r="F42" s="41">
        <f>IF('1. Inputs'!$H$23*F41=0,"",'1. Inputs'!$H$23*F41)</f>
        <v>4572.5625</v>
      </c>
      <c r="G42" s="41">
        <f>IF('1. Inputs'!$H$23*G41=0,"",'1. Inputs'!$H$23*G41)</f>
        <v>4572.5625</v>
      </c>
      <c r="H42" s="41">
        <f>IF('1. Inputs'!$H$23*H41=0,"",'1. Inputs'!$H$23*H41)</f>
        <v>4572.5625</v>
      </c>
      <c r="I42" s="41">
        <f>IF('1. Inputs'!$H$23*I41=0,"",'1. Inputs'!$H$23*I41)</f>
        <v>2286.28125</v>
      </c>
      <c r="J42" s="41">
        <f>IF('1. Inputs'!$H$23*J41=0,"",'1. Inputs'!$H$23*J41)</f>
        <v>6172.9593750000004</v>
      </c>
      <c r="K42" s="41">
        <f>IF('1. Inputs'!$H$23*K41=0,"",'1. Inputs'!$H$23*K41)</f>
        <v>5715.703125</v>
      </c>
      <c r="L42" s="41">
        <f>IF('1. Inputs'!$H$23*L41=0,"",'1. Inputs'!$H$23*L41)</f>
        <v>5715.703125</v>
      </c>
      <c r="M42" s="41">
        <f>IF('1. Inputs'!$H$23*M41=0,"",'1. Inputs'!$H$23*M41)</f>
        <v>5715.703125</v>
      </c>
    </row>
    <row r="43" spans="2:13">
      <c r="B43" s="262" t="s">
        <v>120</v>
      </c>
      <c r="C43" s="262"/>
      <c r="D43" s="42">
        <f>D42</f>
        <v>1829.0250000000001</v>
      </c>
      <c r="E43" s="42">
        <f t="shared" ref="E43" si="4">E42</f>
        <v>4938.3675000000003</v>
      </c>
      <c r="F43" s="42">
        <f t="shared" ref="F43" si="5">F42</f>
        <v>4572.5625</v>
      </c>
      <c r="G43" s="42">
        <f t="shared" ref="G43" si="6">G42</f>
        <v>4572.5625</v>
      </c>
      <c r="H43" s="42">
        <f t="shared" ref="H43" si="7">H42</f>
        <v>4572.5625</v>
      </c>
      <c r="I43" s="42">
        <f t="shared" ref="I43" si="8">I42</f>
        <v>2286.28125</v>
      </c>
      <c r="J43" s="42">
        <f t="shared" ref="J43" si="9">J42</f>
        <v>6172.9593750000004</v>
      </c>
      <c r="K43" s="42">
        <f t="shared" ref="K43" si="10">K42</f>
        <v>5715.703125</v>
      </c>
      <c r="L43" s="42">
        <f t="shared" ref="L43" si="11">L42</f>
        <v>5715.703125</v>
      </c>
      <c r="M43" s="42">
        <f t="shared" ref="M43" si="12">M42</f>
        <v>5715.703125</v>
      </c>
    </row>
    <row r="44" spans="2:13">
      <c r="B44" s="266" t="s">
        <v>118</v>
      </c>
      <c r="C44" s="266"/>
      <c r="D44" s="41"/>
      <c r="E44" s="41"/>
      <c r="F44" s="41"/>
      <c r="G44" s="41"/>
      <c r="H44" s="41"/>
      <c r="I44" s="41"/>
      <c r="J44" s="41"/>
      <c r="K44" s="41"/>
      <c r="L44" s="41"/>
      <c r="M44" s="41"/>
    </row>
    <row r="45" spans="2:13">
      <c r="B45" s="140" t="s">
        <v>49</v>
      </c>
      <c r="C45" s="140"/>
      <c r="D45" s="41">
        <f>IF('1. Inputs'!$F53=0,"",'1. Inputs'!$F53)</f>
        <v>2000</v>
      </c>
      <c r="E45" s="41"/>
      <c r="F45" s="41"/>
      <c r="G45" s="41"/>
      <c r="H45" s="41"/>
      <c r="I45" s="41">
        <f>IF('1. Inputs'!$F53=0,"",'1. Inputs'!$F53)</f>
        <v>2000</v>
      </c>
      <c r="J45" s="41"/>
      <c r="K45" s="41"/>
      <c r="L45" s="41"/>
      <c r="M45" s="41"/>
    </row>
    <row r="46" spans="2:13">
      <c r="B46" s="140" t="s">
        <v>169</v>
      </c>
      <c r="C46" s="140"/>
      <c r="D46" s="41" t="str">
        <f>IF('1. Inputs'!$F54=0,"",'1. Inputs'!$F54)</f>
        <v/>
      </c>
      <c r="E46" s="41"/>
      <c r="F46" s="41"/>
      <c r="G46" s="41"/>
      <c r="H46" s="41"/>
      <c r="I46" s="41" t="str">
        <f>IF('1. Inputs'!$F54=0,"",'1. Inputs'!$F54)</f>
        <v/>
      </c>
      <c r="J46" s="41"/>
      <c r="K46" s="41"/>
      <c r="L46" s="41"/>
      <c r="M46" s="41"/>
    </row>
    <row r="47" spans="2:13">
      <c r="B47" s="140" t="s">
        <v>170</v>
      </c>
      <c r="C47" s="140"/>
      <c r="D47" s="41" t="str">
        <f>IF('1. Inputs'!$F55=0,"",'1. Inputs'!$F55)</f>
        <v/>
      </c>
      <c r="E47" s="41"/>
      <c r="F47" s="41"/>
      <c r="G47" s="41"/>
      <c r="H47" s="41"/>
      <c r="I47" s="41" t="str">
        <f>IF('1. Inputs'!$F55=0,"",'1. Inputs'!$F55)</f>
        <v/>
      </c>
      <c r="J47" s="41"/>
      <c r="K47" s="41"/>
      <c r="L47" s="41"/>
      <c r="M47" s="41"/>
    </row>
    <row r="48" spans="2:13">
      <c r="B48" s="140" t="s">
        <v>125</v>
      </c>
      <c r="C48" s="140"/>
      <c r="D48" s="41">
        <f>IF('1. Inputs'!$F35=0,"",'1. Inputs'!$F35*0.2)</f>
        <v>100</v>
      </c>
      <c r="E48" s="41">
        <f>IF('1. Inputs'!$F35=0,"",'1. Inputs'!$F35*0.2)</f>
        <v>100</v>
      </c>
      <c r="F48" s="41">
        <f>IF('1. Inputs'!$F35=0,"",'1. Inputs'!$F35*0.2)</f>
        <v>100</v>
      </c>
      <c r="G48" s="41"/>
      <c r="H48" s="41"/>
      <c r="I48" s="41">
        <f>IF('1. Inputs'!$F35=0,"",'1. Inputs'!$F35*0.2)</f>
        <v>100</v>
      </c>
      <c r="J48" s="41">
        <f>IF('1. Inputs'!$F35=0,"",'1. Inputs'!$F35*0.2)</f>
        <v>100</v>
      </c>
      <c r="K48" s="41">
        <f>IF('1. Inputs'!$F35=0,"",'1. Inputs'!$F35*0.2)</f>
        <v>100</v>
      </c>
      <c r="L48" s="41"/>
      <c r="M48" s="41"/>
    </row>
    <row r="49" spans="2:13">
      <c r="B49" s="43" t="s">
        <v>126</v>
      </c>
      <c r="C49" s="43"/>
      <c r="D49" s="44">
        <f>IF('1. Inputs'!$F32=0,"",'1. Inputs'!$F32*0.2)</f>
        <v>80</v>
      </c>
      <c r="E49" s="44">
        <f>IF('1. Inputs'!$F32=0,"",'1. Inputs'!$F32*0.2)</f>
        <v>80</v>
      </c>
      <c r="F49" s="44">
        <f>IF('1. Inputs'!$F32=0,"",'1. Inputs'!$F32*0.2)</f>
        <v>80</v>
      </c>
      <c r="G49" s="44"/>
      <c r="H49" s="44"/>
      <c r="I49" s="44">
        <f>IF('1. Inputs'!$F32=0,"",'1. Inputs'!$F32*0.2)</f>
        <v>80</v>
      </c>
      <c r="J49" s="44">
        <f>IF('1. Inputs'!$F32=0,"",'1. Inputs'!$F32*0.2)</f>
        <v>80</v>
      </c>
      <c r="K49" s="44">
        <f>IF('1. Inputs'!$F32=0,"",'1. Inputs'!$F32*0.2)</f>
        <v>80</v>
      </c>
      <c r="L49" s="44"/>
      <c r="M49" s="44"/>
    </row>
    <row r="50" spans="2:13">
      <c r="B50" s="261" t="s">
        <v>0</v>
      </c>
      <c r="C50" s="261"/>
      <c r="D50" s="41">
        <f>IF('1. Inputs'!$F31=0,"",'1. Inputs'!$F31)</f>
        <v>400</v>
      </c>
      <c r="E50" s="41">
        <f>IF('1. Inputs'!$F31=0,"",'1. Inputs'!$F31)</f>
        <v>400</v>
      </c>
      <c r="F50" s="41">
        <f>IF('1. Inputs'!$F31=0,"",'1. Inputs'!$F31)</f>
        <v>400</v>
      </c>
      <c r="G50" s="41">
        <f>IF('1. Inputs'!$F31=0,"",'1. Inputs'!$F31)</f>
        <v>400</v>
      </c>
      <c r="H50" s="41">
        <f>IF('1. Inputs'!$F31=0,"",'1. Inputs'!$F31)</f>
        <v>400</v>
      </c>
      <c r="I50" s="41">
        <f>IF('1. Inputs'!$F31=0,"",'1. Inputs'!$F31)</f>
        <v>400</v>
      </c>
      <c r="J50" s="41">
        <f>IF('1. Inputs'!$F31=0,"",'1. Inputs'!$F31)</f>
        <v>400</v>
      </c>
      <c r="K50" s="41">
        <f>IF('1. Inputs'!$F31=0,"",'1. Inputs'!$F31)</f>
        <v>400</v>
      </c>
      <c r="L50" s="41">
        <f>IF('1. Inputs'!$F31=0,"",'1. Inputs'!$F31)</f>
        <v>400</v>
      </c>
      <c r="M50" s="41">
        <f>IF('1. Inputs'!$F31=0,"",'1. Inputs'!$F31)</f>
        <v>400</v>
      </c>
    </row>
    <row r="51" spans="2:13">
      <c r="B51" s="261" t="s">
        <v>7</v>
      </c>
      <c r="C51" s="261"/>
      <c r="D51" s="41">
        <f>IF('1. Inputs'!$F32=0,"",'1. Inputs'!$F32)</f>
        <v>400</v>
      </c>
      <c r="E51" s="41">
        <f>IF('1. Inputs'!$F32=0,"",'1. Inputs'!$F32)</f>
        <v>400</v>
      </c>
      <c r="F51" s="41">
        <f>IF('1. Inputs'!$F32=0,"",'1. Inputs'!$F32)</f>
        <v>400</v>
      </c>
      <c r="G51" s="41">
        <f>IF('1. Inputs'!$F32=0,"",'1. Inputs'!$F32)</f>
        <v>400</v>
      </c>
      <c r="H51" s="41">
        <f>IF('1. Inputs'!$F32=0,"",'1. Inputs'!$F32)</f>
        <v>400</v>
      </c>
      <c r="I51" s="41">
        <f>IF('1. Inputs'!$F32=0,"",'1. Inputs'!$F32)</f>
        <v>400</v>
      </c>
      <c r="J51" s="41">
        <f>IF('1. Inputs'!$F32=0,"",'1. Inputs'!$F32)</f>
        <v>400</v>
      </c>
      <c r="K51" s="41">
        <f>IF('1. Inputs'!$F32=0,"",'1. Inputs'!$F32)</f>
        <v>400</v>
      </c>
      <c r="L51" s="41">
        <f>IF('1. Inputs'!$F32=0,"",'1. Inputs'!$F32)</f>
        <v>400</v>
      </c>
      <c r="M51" s="41">
        <f>IF('1. Inputs'!$F32=0,"",'1. Inputs'!$F32)</f>
        <v>400</v>
      </c>
    </row>
    <row r="52" spans="2:13">
      <c r="B52" s="261" t="s">
        <v>8</v>
      </c>
      <c r="C52" s="261"/>
      <c r="D52" s="41">
        <f>IF('1. Inputs'!$F33=0,"",'1. Inputs'!$F33)</f>
        <v>400</v>
      </c>
      <c r="E52" s="41">
        <f>IF('1. Inputs'!$F33=0,"",'1. Inputs'!$F33)</f>
        <v>400</v>
      </c>
      <c r="F52" s="41">
        <f>IF('1. Inputs'!$F33=0,"",'1. Inputs'!$F33)</f>
        <v>400</v>
      </c>
      <c r="G52" s="41">
        <f>IF('1. Inputs'!$F33=0,"",'1. Inputs'!$F33)</f>
        <v>400</v>
      </c>
      <c r="H52" s="41">
        <f>IF('1. Inputs'!$F33=0,"",'1. Inputs'!$F33)</f>
        <v>400</v>
      </c>
      <c r="I52" s="41">
        <f>IF('1. Inputs'!$F33=0,"",'1. Inputs'!$F33)</f>
        <v>400</v>
      </c>
      <c r="J52" s="41">
        <f>IF('1. Inputs'!$F33=0,"",'1. Inputs'!$F33)</f>
        <v>400</v>
      </c>
      <c r="K52" s="41">
        <f>IF('1. Inputs'!$F33=0,"",'1. Inputs'!$F33)</f>
        <v>400</v>
      </c>
      <c r="L52" s="41">
        <f>IF('1. Inputs'!$F33=0,"",'1. Inputs'!$F33)</f>
        <v>400</v>
      </c>
      <c r="M52" s="41">
        <f>IF('1. Inputs'!$F33=0,"",'1. Inputs'!$F33)</f>
        <v>400</v>
      </c>
    </row>
    <row r="53" spans="2:13">
      <c r="B53" s="261" t="s">
        <v>9</v>
      </c>
      <c r="C53" s="261"/>
      <c r="D53" s="41">
        <f>IF('1. Inputs'!$F34=0,"",'1. Inputs'!$F34)</f>
        <v>100</v>
      </c>
      <c r="E53" s="41">
        <f>IF('1. Inputs'!$F34=0,"",'1. Inputs'!$F34)</f>
        <v>100</v>
      </c>
      <c r="F53" s="41">
        <f>IF('1. Inputs'!$F34=0,"",'1. Inputs'!$F34)</f>
        <v>100</v>
      </c>
      <c r="G53" s="41">
        <f>IF('1. Inputs'!$F34=0,"",'1. Inputs'!$F34)</f>
        <v>100</v>
      </c>
      <c r="H53" s="41">
        <f>IF('1. Inputs'!$F34=0,"",'1. Inputs'!$F34)</f>
        <v>100</v>
      </c>
      <c r="I53" s="41">
        <f>IF('1. Inputs'!$F34=0,"",'1. Inputs'!$F34)</f>
        <v>100</v>
      </c>
      <c r="J53" s="41">
        <f>IF('1. Inputs'!$F34=0,"",'1. Inputs'!$F34)</f>
        <v>100</v>
      </c>
      <c r="K53" s="41">
        <f>IF('1. Inputs'!$F34=0,"",'1. Inputs'!$F34)</f>
        <v>100</v>
      </c>
      <c r="L53" s="41">
        <f>IF('1. Inputs'!$F34=0,"",'1. Inputs'!$F34)</f>
        <v>100</v>
      </c>
      <c r="M53" s="41">
        <f>IF('1. Inputs'!$F34=0,"",'1. Inputs'!$F34)</f>
        <v>100</v>
      </c>
    </row>
    <row r="54" spans="2:13">
      <c r="B54" s="261" t="s">
        <v>32</v>
      </c>
      <c r="C54" s="261"/>
      <c r="D54" s="41">
        <f>IF('1. Inputs'!$F35=0,"",'1. Inputs'!$F35)</f>
        <v>500</v>
      </c>
      <c r="E54" s="41">
        <f>IF('1. Inputs'!$F35=0,"",'1. Inputs'!$F35)</f>
        <v>500</v>
      </c>
      <c r="F54" s="41">
        <f>IF('1. Inputs'!$F35=0,"",'1. Inputs'!$F35)</f>
        <v>500</v>
      </c>
      <c r="G54" s="41">
        <f>IF('1. Inputs'!$F35=0,"",'1. Inputs'!$F35)</f>
        <v>500</v>
      </c>
      <c r="H54" s="41">
        <f>IF('1. Inputs'!$F35=0,"",'1. Inputs'!$F35)</f>
        <v>500</v>
      </c>
      <c r="I54" s="41">
        <f>IF('1. Inputs'!$F35=0,"",'1. Inputs'!$F35)</f>
        <v>500</v>
      </c>
      <c r="J54" s="41">
        <f>IF('1. Inputs'!$F35=0,"",'1. Inputs'!$F35)</f>
        <v>500</v>
      </c>
      <c r="K54" s="41">
        <f>IF('1. Inputs'!$F35=0,"",'1. Inputs'!$F35)</f>
        <v>500</v>
      </c>
      <c r="L54" s="41">
        <f>IF('1. Inputs'!$F35=0,"",'1. Inputs'!$F35)</f>
        <v>500</v>
      </c>
      <c r="M54" s="41">
        <f>IF('1. Inputs'!$F35=0,"",'1. Inputs'!$F35)</f>
        <v>500</v>
      </c>
    </row>
    <row r="55" spans="2:13">
      <c r="B55" s="261" t="s">
        <v>33</v>
      </c>
      <c r="C55" s="261"/>
      <c r="D55" s="41">
        <f>IF('1. Inputs'!$F36=0,"",'1. Inputs'!$F36)</f>
        <v>250</v>
      </c>
      <c r="E55" s="41">
        <f>IF('1. Inputs'!$F36=0,"",'1. Inputs'!$F36)</f>
        <v>250</v>
      </c>
      <c r="F55" s="41">
        <f>IF('1. Inputs'!$F36=0,"",'1. Inputs'!$F36)</f>
        <v>250</v>
      </c>
      <c r="G55" s="41">
        <f>IF('1. Inputs'!$F36=0,"",'1. Inputs'!$F36)</f>
        <v>250</v>
      </c>
      <c r="H55" s="41">
        <f>IF('1. Inputs'!$F36=0,"",'1. Inputs'!$F36)</f>
        <v>250</v>
      </c>
      <c r="I55" s="41">
        <f>IF('1. Inputs'!$F36=0,"",'1. Inputs'!$F36)</f>
        <v>250</v>
      </c>
      <c r="J55" s="41">
        <f>IF('1. Inputs'!$F36=0,"",'1. Inputs'!$F36)</f>
        <v>250</v>
      </c>
      <c r="K55" s="41">
        <f>IF('1. Inputs'!$F36=0,"",'1. Inputs'!$F36)</f>
        <v>250</v>
      </c>
      <c r="L55" s="41">
        <f>IF('1. Inputs'!$F36=0,"",'1. Inputs'!$F36)</f>
        <v>250</v>
      </c>
      <c r="M55" s="41">
        <f>IF('1. Inputs'!$F36=0,"",'1. Inputs'!$F36)</f>
        <v>250</v>
      </c>
    </row>
    <row r="56" spans="2:13">
      <c r="B56" s="261" t="s">
        <v>12</v>
      </c>
      <c r="C56" s="261"/>
      <c r="D56" s="41">
        <f>IF('1. Inputs'!$F37=0,"",'1. Inputs'!$F37)</f>
        <v>400</v>
      </c>
      <c r="E56" s="41">
        <f>IF('1. Inputs'!$F37=0,"",'1. Inputs'!$F37)</f>
        <v>400</v>
      </c>
      <c r="F56" s="41">
        <f>IF('1. Inputs'!$F37=0,"",'1. Inputs'!$F37)</f>
        <v>400</v>
      </c>
      <c r="G56" s="41">
        <f>IF('1. Inputs'!$F37=0,"",'1. Inputs'!$F37)</f>
        <v>400</v>
      </c>
      <c r="H56" s="41">
        <f>IF('1. Inputs'!$F37=0,"",'1. Inputs'!$F37)</f>
        <v>400</v>
      </c>
      <c r="I56" s="41">
        <f>IF('1. Inputs'!$F37=0,"",'1. Inputs'!$F37)</f>
        <v>400</v>
      </c>
      <c r="J56" s="41">
        <f>IF('1. Inputs'!$F37=0,"",'1. Inputs'!$F37)</f>
        <v>400</v>
      </c>
      <c r="K56" s="41">
        <f>IF('1. Inputs'!$F37=0,"",'1. Inputs'!$F37)</f>
        <v>400</v>
      </c>
      <c r="L56" s="41">
        <f>IF('1. Inputs'!$F37=0,"",'1. Inputs'!$F37)</f>
        <v>400</v>
      </c>
      <c r="M56" s="41">
        <f>IF('1. Inputs'!$F37=0,"",'1. Inputs'!$F37)</f>
        <v>400</v>
      </c>
    </row>
    <row r="57" spans="2:13">
      <c r="B57" s="261" t="s">
        <v>165</v>
      </c>
      <c r="C57" s="261"/>
      <c r="D57" s="41">
        <f>IF('1. Inputs'!$F38=0,"",'1. Inputs'!$F38)</f>
        <v>100</v>
      </c>
      <c r="E57" s="41">
        <f>IF('1. Inputs'!$F38=0,"",'1. Inputs'!$F38)</f>
        <v>100</v>
      </c>
      <c r="F57" s="41">
        <f>IF('1. Inputs'!$F38=0,"",'1. Inputs'!$F38)</f>
        <v>100</v>
      </c>
      <c r="G57" s="41">
        <f>IF('1. Inputs'!$F38=0,"",'1. Inputs'!$F38)</f>
        <v>100</v>
      </c>
      <c r="H57" s="41">
        <f>IF('1. Inputs'!$F38=0,"",'1. Inputs'!$F38)</f>
        <v>100</v>
      </c>
      <c r="I57" s="41">
        <f>IF('1. Inputs'!$F38=0,"",'1. Inputs'!$F38)</f>
        <v>100</v>
      </c>
      <c r="J57" s="41">
        <f>IF('1. Inputs'!$F38=0,"",'1. Inputs'!$F38)</f>
        <v>100</v>
      </c>
      <c r="K57" s="41">
        <f>IF('1. Inputs'!$F38=0,"",'1. Inputs'!$F38)</f>
        <v>100</v>
      </c>
      <c r="L57" s="41">
        <f>IF('1. Inputs'!$F38=0,"",'1. Inputs'!$F38)</f>
        <v>100</v>
      </c>
      <c r="M57" s="41">
        <f>IF('1. Inputs'!$F38=0,"",'1. Inputs'!$F38)</f>
        <v>100</v>
      </c>
    </row>
    <row r="58" spans="2:13">
      <c r="B58" s="261" t="s">
        <v>14</v>
      </c>
      <c r="C58" s="261"/>
      <c r="D58" s="41">
        <f>IF('1. Inputs'!$F39=0,"",'1. Inputs'!$F39)</f>
        <v>150</v>
      </c>
      <c r="E58" s="41">
        <f>IF('1. Inputs'!$F39=0,"",'1. Inputs'!$F39)</f>
        <v>150</v>
      </c>
      <c r="F58" s="41">
        <f>IF('1. Inputs'!$F39=0,"",'1. Inputs'!$F39)</f>
        <v>150</v>
      </c>
      <c r="G58" s="41">
        <f>IF('1. Inputs'!$F39=0,"",'1. Inputs'!$F39)</f>
        <v>150</v>
      </c>
      <c r="H58" s="41">
        <f>IF('1. Inputs'!$F39=0,"",'1. Inputs'!$F39)</f>
        <v>150</v>
      </c>
      <c r="I58" s="41">
        <f>IF('1. Inputs'!$F39=0,"",'1. Inputs'!$F39)</f>
        <v>150</v>
      </c>
      <c r="J58" s="41">
        <f>IF('1. Inputs'!$F39=0,"",'1. Inputs'!$F39)</f>
        <v>150</v>
      </c>
      <c r="K58" s="41">
        <f>IF('1. Inputs'!$F39=0,"",'1. Inputs'!$F39)</f>
        <v>150</v>
      </c>
      <c r="L58" s="41">
        <f>IF('1. Inputs'!$F39=0,"",'1. Inputs'!$F39)</f>
        <v>150</v>
      </c>
      <c r="M58" s="41">
        <f>IF('1. Inputs'!$F39=0,"",'1. Inputs'!$F39)</f>
        <v>150</v>
      </c>
    </row>
    <row r="59" spans="2:13">
      <c r="B59" s="261" t="s">
        <v>13</v>
      </c>
      <c r="C59" s="261"/>
      <c r="D59" s="41">
        <f>IF('1. Inputs'!$F40=0,"",'1. Inputs'!$F40)</f>
        <v>500</v>
      </c>
      <c r="E59" s="41">
        <f>IF('1. Inputs'!$F40=0,"",'1. Inputs'!$F40)</f>
        <v>500</v>
      </c>
      <c r="F59" s="41">
        <f>IF('1. Inputs'!$F40=0,"",'1. Inputs'!$F40)</f>
        <v>500</v>
      </c>
      <c r="G59" s="41">
        <f>IF('1. Inputs'!$F40=0,"",'1. Inputs'!$F40)</f>
        <v>500</v>
      </c>
      <c r="H59" s="41">
        <f>IF('1. Inputs'!$F40=0,"",'1. Inputs'!$F40)</f>
        <v>500</v>
      </c>
      <c r="I59" s="41">
        <f>IF('1. Inputs'!$F40=0,"",'1. Inputs'!$F40)</f>
        <v>500</v>
      </c>
      <c r="J59" s="41">
        <f>IF('1. Inputs'!$F40=0,"",'1. Inputs'!$F40)</f>
        <v>500</v>
      </c>
      <c r="K59" s="41">
        <f>IF('1. Inputs'!$F40=0,"",'1. Inputs'!$F40)</f>
        <v>500</v>
      </c>
      <c r="L59" s="41">
        <f>IF('1. Inputs'!$F40=0,"",'1. Inputs'!$F40)</f>
        <v>500</v>
      </c>
      <c r="M59" s="41">
        <f>IF('1. Inputs'!$F40=0,"",'1. Inputs'!$F40)</f>
        <v>500</v>
      </c>
    </row>
    <row r="60" spans="2:13">
      <c r="B60" s="261" t="s">
        <v>19</v>
      </c>
      <c r="C60" s="261"/>
      <c r="D60" s="41">
        <f>IF('1. Inputs'!$F41=0,"",'1. Inputs'!$F41)</f>
        <v>250</v>
      </c>
      <c r="E60" s="41">
        <f>IF('1. Inputs'!$F41=0,"",'1. Inputs'!$F41)</f>
        <v>250</v>
      </c>
      <c r="F60" s="41">
        <f>IF('1. Inputs'!$F41=0,"",'1. Inputs'!$F41)</f>
        <v>250</v>
      </c>
      <c r="G60" s="41">
        <f>IF('1. Inputs'!$F41=0,"",'1. Inputs'!$F41)</f>
        <v>250</v>
      </c>
      <c r="H60" s="41">
        <f>IF('1. Inputs'!$F41=0,"",'1. Inputs'!$F41)</f>
        <v>250</v>
      </c>
      <c r="I60" s="41">
        <f>IF('1. Inputs'!$F41=0,"",'1. Inputs'!$F41)</f>
        <v>250</v>
      </c>
      <c r="J60" s="41">
        <f>IF('1. Inputs'!$F41=0,"",'1. Inputs'!$F41)</f>
        <v>250</v>
      </c>
      <c r="K60" s="41">
        <f>IF('1. Inputs'!$F41=0,"",'1. Inputs'!$F41)</f>
        <v>250</v>
      </c>
      <c r="L60" s="41">
        <f>IF('1. Inputs'!$F41=0,"",'1. Inputs'!$F41)</f>
        <v>250</v>
      </c>
      <c r="M60" s="41">
        <f>IF('1. Inputs'!$F41=0,"",'1. Inputs'!$F41)</f>
        <v>250</v>
      </c>
    </row>
    <row r="61" spans="2:13">
      <c r="B61" s="261" t="s">
        <v>166</v>
      </c>
      <c r="C61" s="261"/>
      <c r="D61" s="41">
        <f>IF('1. Inputs'!$F42=0,"",'1. Inputs'!$F42)</f>
        <v>100</v>
      </c>
      <c r="E61" s="41">
        <f>IF('1. Inputs'!$F42=0,"",'1. Inputs'!$F42)</f>
        <v>100</v>
      </c>
      <c r="F61" s="41">
        <f>IF('1. Inputs'!$F42=0,"",'1. Inputs'!$F42)</f>
        <v>100</v>
      </c>
      <c r="G61" s="41">
        <f>IF('1. Inputs'!$F42=0,"",'1. Inputs'!$F42)</f>
        <v>100</v>
      </c>
      <c r="H61" s="41">
        <f>IF('1. Inputs'!$F42=0,"",'1. Inputs'!$F42)</f>
        <v>100</v>
      </c>
      <c r="I61" s="41">
        <f>IF('1. Inputs'!$F42=0,"",'1. Inputs'!$F42)</f>
        <v>100</v>
      </c>
      <c r="J61" s="41">
        <f>IF('1. Inputs'!$F42=0,"",'1. Inputs'!$F42)</f>
        <v>100</v>
      </c>
      <c r="K61" s="41">
        <f>IF('1. Inputs'!$F42=0,"",'1. Inputs'!$F42)</f>
        <v>100</v>
      </c>
      <c r="L61" s="41">
        <f>IF('1. Inputs'!$F42=0,"",'1. Inputs'!$F42)</f>
        <v>100</v>
      </c>
      <c r="M61" s="41">
        <f>IF('1. Inputs'!$F42=0,"",'1. Inputs'!$F42)</f>
        <v>100</v>
      </c>
    </row>
    <row r="62" spans="2:13">
      <c r="B62" s="261" t="s">
        <v>20</v>
      </c>
      <c r="C62" s="261"/>
      <c r="D62" s="41">
        <f>IF('1. Inputs'!$F43=0,"",'1. Inputs'!$F43)</f>
        <v>100</v>
      </c>
      <c r="E62" s="41">
        <f>IF('1. Inputs'!$F43=0,"",'1. Inputs'!$F43)</f>
        <v>100</v>
      </c>
      <c r="F62" s="41">
        <f>IF('1. Inputs'!$F43=0,"",'1. Inputs'!$F43)</f>
        <v>100</v>
      </c>
      <c r="G62" s="41">
        <f>IF('1. Inputs'!$F43=0,"",'1. Inputs'!$F43)</f>
        <v>100</v>
      </c>
      <c r="H62" s="41">
        <f>IF('1. Inputs'!$F43=0,"",'1. Inputs'!$F43)</f>
        <v>100</v>
      </c>
      <c r="I62" s="41">
        <f>IF('1. Inputs'!$F43=0,"",'1. Inputs'!$F43)</f>
        <v>100</v>
      </c>
      <c r="J62" s="41">
        <f>IF('1. Inputs'!$F43=0,"",'1. Inputs'!$F43)</f>
        <v>100</v>
      </c>
      <c r="K62" s="41">
        <f>IF('1. Inputs'!$F43=0,"",'1. Inputs'!$F43)</f>
        <v>100</v>
      </c>
      <c r="L62" s="41">
        <f>IF('1. Inputs'!$F43=0,"",'1. Inputs'!$F43)</f>
        <v>100</v>
      </c>
      <c r="M62" s="41">
        <f>IF('1. Inputs'!$F43=0,"",'1. Inputs'!$F43)</f>
        <v>100</v>
      </c>
    </row>
    <row r="63" spans="2:13">
      <c r="B63" s="261" t="s">
        <v>21</v>
      </c>
      <c r="C63" s="261"/>
      <c r="D63" s="41">
        <f>IF('1. Inputs'!$F44=0,"",'1. Inputs'!$F44)</f>
        <v>20</v>
      </c>
      <c r="E63" s="41">
        <f>IF('1. Inputs'!$F44=0,"",'1. Inputs'!$F44)</f>
        <v>20</v>
      </c>
      <c r="F63" s="41">
        <f>IF('1. Inputs'!$F44=0,"",'1. Inputs'!$F44)</f>
        <v>20</v>
      </c>
      <c r="G63" s="41">
        <f>IF('1. Inputs'!$F44=0,"",'1. Inputs'!$F44)</f>
        <v>20</v>
      </c>
      <c r="H63" s="41">
        <f>IF('1. Inputs'!$F44=0,"",'1. Inputs'!$F44)</f>
        <v>20</v>
      </c>
      <c r="I63" s="41">
        <f>IF('1. Inputs'!$F44=0,"",'1. Inputs'!$F44)</f>
        <v>20</v>
      </c>
      <c r="J63" s="41">
        <f>IF('1. Inputs'!$F44=0,"",'1. Inputs'!$F44)</f>
        <v>20</v>
      </c>
      <c r="K63" s="41">
        <f>IF('1. Inputs'!$F44=0,"",'1. Inputs'!$F44)</f>
        <v>20</v>
      </c>
      <c r="L63" s="41">
        <f>IF('1. Inputs'!$F44=0,"",'1. Inputs'!$F44)</f>
        <v>20</v>
      </c>
      <c r="M63" s="41">
        <f>IF('1. Inputs'!$F44=0,"",'1. Inputs'!$F44)</f>
        <v>20</v>
      </c>
    </row>
    <row r="64" spans="2:13">
      <c r="B64" s="261" t="s">
        <v>22</v>
      </c>
      <c r="C64" s="261"/>
      <c r="D64" s="41">
        <f>IF('1. Inputs'!$F45=0,"",'1. Inputs'!$F45)</f>
        <v>50</v>
      </c>
      <c r="E64" s="41">
        <f>IF('1. Inputs'!$F45=0,"",'1. Inputs'!$F45)</f>
        <v>50</v>
      </c>
      <c r="F64" s="41">
        <f>IF('1. Inputs'!$F45=0,"",'1. Inputs'!$F45)</f>
        <v>50</v>
      </c>
      <c r="G64" s="41">
        <f>IF('1. Inputs'!$F45=0,"",'1. Inputs'!$F45)</f>
        <v>50</v>
      </c>
      <c r="H64" s="41">
        <f>IF('1. Inputs'!$F45=0,"",'1. Inputs'!$F45)</f>
        <v>50</v>
      </c>
      <c r="I64" s="41">
        <f>IF('1. Inputs'!$F45=0,"",'1. Inputs'!$F45)</f>
        <v>50</v>
      </c>
      <c r="J64" s="41">
        <f>IF('1. Inputs'!$F45=0,"",'1. Inputs'!$F45)</f>
        <v>50</v>
      </c>
      <c r="K64" s="41">
        <f>IF('1. Inputs'!$F45=0,"",'1. Inputs'!$F45)</f>
        <v>50</v>
      </c>
      <c r="L64" s="41">
        <f>IF('1. Inputs'!$F45=0,"",'1. Inputs'!$F45)</f>
        <v>50</v>
      </c>
      <c r="M64" s="41">
        <f>IF('1. Inputs'!$F45=0,"",'1. Inputs'!$F45)</f>
        <v>50</v>
      </c>
    </row>
    <row r="65" spans="2:13">
      <c r="B65" s="261" t="s">
        <v>167</v>
      </c>
      <c r="C65" s="261"/>
      <c r="D65" s="41" t="str">
        <f>IF('1. Inputs'!$F46=0,"",'1. Inputs'!$F46)</f>
        <v/>
      </c>
      <c r="E65" s="41" t="str">
        <f>IF('1. Inputs'!$F46=0,"",'1. Inputs'!$F46)</f>
        <v/>
      </c>
      <c r="F65" s="41" t="str">
        <f>IF('1. Inputs'!$F46=0,"",'1. Inputs'!$F46)</f>
        <v/>
      </c>
      <c r="G65" s="41" t="str">
        <f>IF('1. Inputs'!$F46=0,"",'1. Inputs'!$F46)</f>
        <v/>
      </c>
      <c r="H65" s="41" t="str">
        <f>IF('1. Inputs'!$F46=0,"",'1. Inputs'!$F46)</f>
        <v/>
      </c>
      <c r="I65" s="41" t="str">
        <f>IF('1. Inputs'!$F46=0,"",'1. Inputs'!$F46)</f>
        <v/>
      </c>
      <c r="J65" s="41" t="str">
        <f>IF('1. Inputs'!$F46=0,"",'1. Inputs'!$F46)</f>
        <v/>
      </c>
      <c r="K65" s="41" t="str">
        <f>IF('1. Inputs'!$F46=0,"",'1. Inputs'!$F46)</f>
        <v/>
      </c>
      <c r="L65" s="41" t="str">
        <f>IF('1. Inputs'!$F46=0,"",'1. Inputs'!$F46)</f>
        <v/>
      </c>
      <c r="M65" s="41" t="str">
        <f>IF('1. Inputs'!$F46=0,"",'1. Inputs'!$F46)</f>
        <v/>
      </c>
    </row>
    <row r="66" spans="2:13">
      <c r="B66" s="261" t="s">
        <v>168</v>
      </c>
      <c r="C66" s="261"/>
      <c r="D66" s="41" t="str">
        <f>IF('1. Inputs'!$F47=0,"",'1. Inputs'!$F47)</f>
        <v/>
      </c>
      <c r="E66" s="41" t="str">
        <f>IF('1. Inputs'!$F47=0,"",'1. Inputs'!$F47)</f>
        <v/>
      </c>
      <c r="F66" s="41" t="str">
        <f>IF('1. Inputs'!$F47=0,"",'1. Inputs'!$F47)</f>
        <v/>
      </c>
      <c r="G66" s="41" t="str">
        <f>IF('1. Inputs'!$F47=0,"",'1. Inputs'!$F47)</f>
        <v/>
      </c>
      <c r="H66" s="41" t="str">
        <f>IF('1. Inputs'!$F47=0,"",'1. Inputs'!$F47)</f>
        <v/>
      </c>
      <c r="I66" s="41" t="str">
        <f>IF('1. Inputs'!$F47=0,"",'1. Inputs'!$F47)</f>
        <v/>
      </c>
      <c r="J66" s="41" t="str">
        <f>IF('1. Inputs'!$F47=0,"",'1. Inputs'!$F47)</f>
        <v/>
      </c>
      <c r="K66" s="41" t="str">
        <f>IF('1. Inputs'!$F47=0,"",'1. Inputs'!$F47)</f>
        <v/>
      </c>
      <c r="L66" s="41" t="str">
        <f>IF('1. Inputs'!$F47=0,"",'1. Inputs'!$F47)</f>
        <v/>
      </c>
      <c r="M66" s="41" t="str">
        <f>IF('1. Inputs'!$F47=0,"",'1. Inputs'!$F47)</f>
        <v/>
      </c>
    </row>
    <row r="67" spans="2:13">
      <c r="B67" s="262" t="s">
        <v>119</v>
      </c>
      <c r="C67" s="262"/>
      <c r="D67" s="42">
        <f>SUM(D45:D66)</f>
        <v>5900</v>
      </c>
      <c r="E67" s="42">
        <f t="shared" ref="E67:M67" si="13">SUM(E45:E66)</f>
        <v>3900</v>
      </c>
      <c r="F67" s="42">
        <f t="shared" si="13"/>
        <v>3900</v>
      </c>
      <c r="G67" s="42">
        <f t="shared" si="13"/>
        <v>3720</v>
      </c>
      <c r="H67" s="42">
        <f t="shared" si="13"/>
        <v>3720</v>
      </c>
      <c r="I67" s="42">
        <f t="shared" si="13"/>
        <v>5900</v>
      </c>
      <c r="J67" s="42">
        <f t="shared" si="13"/>
        <v>3900</v>
      </c>
      <c r="K67" s="42">
        <f t="shared" si="13"/>
        <v>3900</v>
      </c>
      <c r="L67" s="42">
        <f t="shared" si="13"/>
        <v>3720</v>
      </c>
      <c r="M67" s="42">
        <f t="shared" si="13"/>
        <v>3720</v>
      </c>
    </row>
    <row r="68" spans="2:13">
      <c r="B68" s="263" t="s">
        <v>121</v>
      </c>
      <c r="C68" s="263"/>
      <c r="D68" s="42">
        <f>SUM(D43, D67*-1)</f>
        <v>-4070.9749999999999</v>
      </c>
      <c r="E68" s="42">
        <f t="shared" ref="E68:M68" si="14">SUM(E43, E67*-1)</f>
        <v>1038.3675000000003</v>
      </c>
      <c r="F68" s="42">
        <f t="shared" si="14"/>
        <v>672.5625</v>
      </c>
      <c r="G68" s="42">
        <f t="shared" si="14"/>
        <v>852.5625</v>
      </c>
      <c r="H68" s="42">
        <f t="shared" si="14"/>
        <v>852.5625</v>
      </c>
      <c r="I68" s="42">
        <f t="shared" si="14"/>
        <v>-3613.71875</v>
      </c>
      <c r="J68" s="42">
        <f t="shared" si="14"/>
        <v>2272.9593750000004</v>
      </c>
      <c r="K68" s="42">
        <f t="shared" si="14"/>
        <v>1815.703125</v>
      </c>
      <c r="L68" s="42">
        <f t="shared" si="14"/>
        <v>1995.703125</v>
      </c>
      <c r="M68" s="42">
        <f t="shared" si="14"/>
        <v>1995.703125</v>
      </c>
    </row>
    <row r="69" spans="2:13">
      <c r="B69" s="267" t="s">
        <v>122</v>
      </c>
      <c r="C69" s="267"/>
      <c r="D69" s="45">
        <f>D68</f>
        <v>-4070.9749999999999</v>
      </c>
      <c r="E69" s="45">
        <f>E68+D69</f>
        <v>-3032.6074999999996</v>
      </c>
      <c r="F69" s="45">
        <f t="shared" ref="F69" si="15">F68+E69</f>
        <v>-2360.0449999999996</v>
      </c>
      <c r="G69" s="45">
        <f t="shared" ref="G69" si="16">G68+F69</f>
        <v>-1507.4824999999996</v>
      </c>
      <c r="H69" s="45">
        <f t="shared" ref="H69" si="17">H68+G69</f>
        <v>-654.91999999999962</v>
      </c>
      <c r="I69" s="45">
        <f t="shared" ref="I69" si="18">I68+H69</f>
        <v>-4268.6387500000001</v>
      </c>
      <c r="J69" s="45">
        <f t="shared" ref="J69" si="19">J68+I69</f>
        <v>-1995.6793749999997</v>
      </c>
      <c r="K69" s="45">
        <f t="shared" ref="K69" si="20">K68+J69</f>
        <v>-179.97624999999971</v>
      </c>
      <c r="L69" s="45">
        <f t="shared" ref="L69" si="21">L68+K69</f>
        <v>1815.7268750000003</v>
      </c>
      <c r="M69" s="45">
        <f>M68+L69</f>
        <v>3811.4300000000003</v>
      </c>
    </row>
    <row r="70" spans="2:13">
      <c r="B70" s="29"/>
      <c r="C70" s="29"/>
      <c r="D70" s="30"/>
      <c r="E70" s="30"/>
      <c r="F70" s="30"/>
      <c r="G70" s="30"/>
      <c r="H70" s="30"/>
      <c r="I70" s="30"/>
      <c r="J70" s="30"/>
      <c r="K70" s="30"/>
      <c r="L70" s="30"/>
      <c r="M70" s="30"/>
    </row>
    <row r="71" spans="2:13">
      <c r="B71" s="29"/>
      <c r="C71" s="29"/>
      <c r="D71" s="30"/>
      <c r="E71" s="30"/>
      <c r="F71" s="30"/>
      <c r="G71" s="30"/>
      <c r="H71" s="30"/>
      <c r="I71" s="30"/>
      <c r="J71" s="30"/>
      <c r="K71" s="30"/>
      <c r="L71" s="30"/>
      <c r="M71" s="30"/>
    </row>
    <row r="72" spans="2:13" ht="18.5">
      <c r="B72" s="19" t="s">
        <v>27</v>
      </c>
    </row>
    <row r="73" spans="2:13" ht="7" customHeight="1"/>
    <row r="74" spans="2:13" ht="15.5">
      <c r="B74" s="20" t="s">
        <v>44</v>
      </c>
      <c r="C74" s="33"/>
      <c r="D74" s="20" t="str">
        <f>"VARIETY:  "&amp;UPPER('1. Inputs'!C6)</f>
        <v xml:space="preserve">VARIETY:  </v>
      </c>
      <c r="E74" s="28"/>
    </row>
    <row r="75" spans="2:13">
      <c r="B75" s="260"/>
      <c r="C75" s="260"/>
      <c r="D75" s="137" t="s">
        <v>66</v>
      </c>
      <c r="E75" s="137" t="s">
        <v>57</v>
      </c>
      <c r="F75" s="137" t="s">
        <v>58</v>
      </c>
      <c r="G75" s="137" t="s">
        <v>59</v>
      </c>
      <c r="H75" s="137" t="s">
        <v>60</v>
      </c>
      <c r="I75" s="137" t="s">
        <v>61</v>
      </c>
      <c r="J75" s="137" t="s">
        <v>62</v>
      </c>
      <c r="K75" s="137" t="s">
        <v>63</v>
      </c>
      <c r="L75" s="137" t="s">
        <v>64</v>
      </c>
      <c r="M75" s="137" t="s">
        <v>65</v>
      </c>
    </row>
    <row r="76" spans="2:13">
      <c r="B76" s="264" t="s">
        <v>116</v>
      </c>
      <c r="C76" s="264"/>
      <c r="D76" s="28"/>
      <c r="E76" s="28"/>
      <c r="F76" s="28"/>
      <c r="G76" s="28"/>
      <c r="H76" s="28"/>
      <c r="I76" s="28"/>
      <c r="J76" s="28"/>
      <c r="K76" s="28"/>
      <c r="L76" s="28"/>
      <c r="M76" s="28"/>
    </row>
    <row r="77" spans="2:13">
      <c r="B77" s="265" t="s">
        <v>117</v>
      </c>
      <c r="C77" s="265"/>
      <c r="D77" s="40">
        <f>'2. Return on Investment Summary'!D40</f>
        <v>0</v>
      </c>
      <c r="E77" s="40">
        <f>'2. Return on Investment Summary'!D41</f>
        <v>55</v>
      </c>
      <c r="F77" s="40">
        <f>'2. Return on Investment Summary'!D42</f>
        <v>82.5</v>
      </c>
      <c r="G77" s="40">
        <f>'2. Return on Investment Summary'!D43</f>
        <v>110</v>
      </c>
      <c r="H77" s="40">
        <f>'2. Return on Investment Summary'!D44</f>
        <v>110</v>
      </c>
      <c r="I77" s="40">
        <f>'2. Return on Investment Summary'!D45</f>
        <v>110</v>
      </c>
      <c r="J77" s="40">
        <f>'2. Return on Investment Summary'!D46</f>
        <v>110</v>
      </c>
      <c r="K77" s="40">
        <f>'2. Return on Investment Summary'!D47</f>
        <v>110</v>
      </c>
      <c r="L77" s="40">
        <f>'2. Return on Investment Summary'!D48</f>
        <v>110</v>
      </c>
      <c r="M77" s="40">
        <f>'2. Return on Investment Summary'!D49</f>
        <v>110</v>
      </c>
    </row>
    <row r="78" spans="2:13">
      <c r="B78" s="139" t="str">
        <f>"Revenue @ $"&amp;ROUND('1. Inputs'!$H$23,2)&amp;" /bbl"</f>
        <v>Revenue @ $33.26 /bbl</v>
      </c>
      <c r="C78" s="138"/>
      <c r="D78" s="41" t="str">
        <f>IF('1. Inputs'!$H$23*D77=0,"",'1. Inputs'!$H$23*D77)</f>
        <v/>
      </c>
      <c r="E78" s="41">
        <f>IF('1. Inputs'!$H$23*E77=0,"",'1. Inputs'!$H$23*E77)</f>
        <v>1829.0250000000001</v>
      </c>
      <c r="F78" s="41">
        <f>IF('1. Inputs'!$H$23*F77=0,"",'1. Inputs'!$H$23*F77)</f>
        <v>2743.5375000000004</v>
      </c>
      <c r="G78" s="41">
        <f>IF('1. Inputs'!$H$23*G77=0,"",'1. Inputs'!$H$23*G77)</f>
        <v>3658.05</v>
      </c>
      <c r="H78" s="41">
        <f>IF('1. Inputs'!$H$23*H77=0,"",'1. Inputs'!$H$23*H77)</f>
        <v>3658.05</v>
      </c>
      <c r="I78" s="41">
        <f>IF('1. Inputs'!$H$23*I77=0,"",'1. Inputs'!$H$23*I77)</f>
        <v>3658.05</v>
      </c>
      <c r="J78" s="41">
        <f>IF('1. Inputs'!$H$23*J77=0,"",'1. Inputs'!$H$23*J77)</f>
        <v>3658.05</v>
      </c>
      <c r="K78" s="41">
        <f>IF('1. Inputs'!$H$23*K77=0,"",'1. Inputs'!$H$23*K77)</f>
        <v>3658.05</v>
      </c>
      <c r="L78" s="41">
        <f>IF('1. Inputs'!$H$23*L77=0,"",'1. Inputs'!$H$23*L77)</f>
        <v>3658.05</v>
      </c>
      <c r="M78" s="41">
        <f>IF('1. Inputs'!$H$23*M77=0,"",'1. Inputs'!$H$23*M77)</f>
        <v>3658.05</v>
      </c>
    </row>
    <row r="79" spans="2:13">
      <c r="B79" s="262" t="s">
        <v>120</v>
      </c>
      <c r="C79" s="262"/>
      <c r="D79" s="42" t="str">
        <f>D78</f>
        <v/>
      </c>
      <c r="E79" s="42">
        <f>E78</f>
        <v>1829.0250000000001</v>
      </c>
      <c r="F79" s="42">
        <f t="shared" ref="F79" si="22">F78</f>
        <v>2743.5375000000004</v>
      </c>
      <c r="G79" s="42">
        <f t="shared" ref="G79" si="23">G78</f>
        <v>3658.05</v>
      </c>
      <c r="H79" s="42">
        <f t="shared" ref="H79" si="24">H78</f>
        <v>3658.05</v>
      </c>
      <c r="I79" s="42">
        <f t="shared" ref="I79" si="25">I78</f>
        <v>3658.05</v>
      </c>
      <c r="J79" s="42">
        <f t="shared" ref="J79" si="26">J78</f>
        <v>3658.05</v>
      </c>
      <c r="K79" s="42">
        <f t="shared" ref="K79" si="27">K78</f>
        <v>3658.05</v>
      </c>
      <c r="L79" s="42">
        <f t="shared" ref="L79" si="28">L78</f>
        <v>3658.05</v>
      </c>
      <c r="M79" s="42">
        <f t="shared" ref="M79" si="29">M78</f>
        <v>3658.05</v>
      </c>
    </row>
    <row r="80" spans="2:13">
      <c r="B80" s="266" t="s">
        <v>118</v>
      </c>
      <c r="C80" s="266"/>
      <c r="D80" s="41"/>
      <c r="E80" s="41"/>
      <c r="F80" s="41"/>
      <c r="G80" s="41"/>
      <c r="H80" s="41"/>
      <c r="I80" s="41"/>
      <c r="J80" s="41"/>
      <c r="K80" s="41"/>
      <c r="L80" s="41"/>
      <c r="M80" s="41"/>
    </row>
    <row r="81" spans="2:13">
      <c r="B81" s="140" t="s">
        <v>1</v>
      </c>
      <c r="C81" s="140"/>
      <c r="D81" s="41">
        <f>IF('1. Inputs'!$F59=0,"",'1. Inputs'!$F59)</f>
        <v>600</v>
      </c>
      <c r="E81" s="41"/>
      <c r="F81" s="41"/>
      <c r="G81" s="41"/>
      <c r="H81" s="41"/>
      <c r="I81" s="41"/>
      <c r="J81" s="41"/>
      <c r="K81" s="41"/>
      <c r="L81" s="41"/>
      <c r="M81" s="41"/>
    </row>
    <row r="82" spans="2:13">
      <c r="B82" s="140" t="s">
        <v>171</v>
      </c>
      <c r="C82" s="140"/>
      <c r="D82" s="41" t="str">
        <f>IF('1. Inputs'!$F60=0,"",'1. Inputs'!$F60)</f>
        <v/>
      </c>
      <c r="E82" s="41"/>
      <c r="F82" s="41"/>
      <c r="G82" s="41"/>
      <c r="H82" s="41"/>
      <c r="I82" s="41"/>
      <c r="J82" s="41"/>
      <c r="K82" s="41"/>
      <c r="L82" s="41"/>
      <c r="M82" s="41"/>
    </row>
    <row r="83" spans="2:13">
      <c r="B83" s="140" t="s">
        <v>172</v>
      </c>
      <c r="C83" s="140"/>
      <c r="D83" s="41" t="str">
        <f>IF('1. Inputs'!$F61=0,"",'1. Inputs'!$F61)</f>
        <v/>
      </c>
      <c r="E83" s="41"/>
      <c r="F83" s="41"/>
      <c r="G83" s="41"/>
      <c r="H83" s="41"/>
      <c r="I83" s="41"/>
      <c r="J83" s="41"/>
      <c r="K83" s="41"/>
      <c r="L83" s="41"/>
      <c r="M83" s="41"/>
    </row>
    <row r="84" spans="2:13">
      <c r="B84" s="140" t="s">
        <v>125</v>
      </c>
      <c r="C84" s="140"/>
      <c r="D84" s="41">
        <f>IF('1. Inputs'!$F$35=0,"",'1. Inputs'!$F$35*0.2)</f>
        <v>100</v>
      </c>
      <c r="E84" s="41">
        <f>IF('1. Inputs'!$F$35=0,"",'1. Inputs'!$F$35*0.2)</f>
        <v>100</v>
      </c>
      <c r="F84" s="41">
        <f>IF('1. Inputs'!$F$35=0,"",'1. Inputs'!$F$35*0.2)</f>
        <v>100</v>
      </c>
      <c r="G84" s="41"/>
      <c r="H84" s="41"/>
      <c r="I84" s="41"/>
      <c r="J84" s="41"/>
      <c r="K84" s="41"/>
      <c r="L84" s="41"/>
      <c r="M84" s="41"/>
    </row>
    <row r="85" spans="2:13">
      <c r="B85" s="43" t="s">
        <v>126</v>
      </c>
      <c r="C85" s="43"/>
      <c r="D85" s="44">
        <f>IF('1. Inputs'!$F$32=0,"",'1. Inputs'!$F$32*0.2)</f>
        <v>80</v>
      </c>
      <c r="E85" s="44">
        <f>IF('1. Inputs'!$F$32=0,"",'1. Inputs'!$F$32*0.2)</f>
        <v>80</v>
      </c>
      <c r="F85" s="44">
        <f>IF('1. Inputs'!$F$32=0,"",'1. Inputs'!$F$32*0.2)</f>
        <v>80</v>
      </c>
      <c r="G85" s="44"/>
      <c r="H85" s="44"/>
      <c r="I85" s="44"/>
      <c r="J85" s="44"/>
      <c r="K85" s="44"/>
      <c r="L85" s="44"/>
      <c r="M85" s="44"/>
    </row>
    <row r="86" spans="2:13">
      <c r="B86" s="261" t="s">
        <v>0</v>
      </c>
      <c r="C86" s="261"/>
      <c r="D86" s="41">
        <f>IF('1. Inputs'!$F31=0,"",'1. Inputs'!$F31)</f>
        <v>400</v>
      </c>
      <c r="E86" s="41">
        <f>IF('1. Inputs'!$F31=0,"",'1. Inputs'!$F31)</f>
        <v>400</v>
      </c>
      <c r="F86" s="41">
        <f>IF('1. Inputs'!$F31=0,"",'1. Inputs'!$F31)</f>
        <v>400</v>
      </c>
      <c r="G86" s="41">
        <f>IF('1. Inputs'!$F31=0,"",'1. Inputs'!$F31)</f>
        <v>400</v>
      </c>
      <c r="H86" s="41">
        <f>IF('1. Inputs'!$F31=0,"",'1. Inputs'!$F31)</f>
        <v>400</v>
      </c>
      <c r="I86" s="41">
        <f>IF('1. Inputs'!$F31=0,"",'1. Inputs'!$F31)</f>
        <v>400</v>
      </c>
      <c r="J86" s="41">
        <f>IF('1. Inputs'!$F31=0,"",'1. Inputs'!$F31)</f>
        <v>400</v>
      </c>
      <c r="K86" s="41">
        <f>IF('1. Inputs'!$F31=0,"",'1. Inputs'!$F31)</f>
        <v>400</v>
      </c>
      <c r="L86" s="41">
        <f>IF('1. Inputs'!$F31=0,"",'1. Inputs'!$F31)</f>
        <v>400</v>
      </c>
      <c r="M86" s="41">
        <f>IF('1. Inputs'!$F31=0,"",'1. Inputs'!$F31)</f>
        <v>400</v>
      </c>
    </row>
    <row r="87" spans="2:13">
      <c r="B87" s="261" t="s">
        <v>7</v>
      </c>
      <c r="C87" s="261"/>
      <c r="D87" s="41">
        <f>IF('1. Inputs'!$F32=0,"",'1. Inputs'!$F32)</f>
        <v>400</v>
      </c>
      <c r="E87" s="41">
        <f>IF('1. Inputs'!$F32=0,"",'1. Inputs'!$F32)</f>
        <v>400</v>
      </c>
      <c r="F87" s="41">
        <f>IF('1. Inputs'!$F32=0,"",'1. Inputs'!$F32)</f>
        <v>400</v>
      </c>
      <c r="G87" s="41">
        <f>IF('1. Inputs'!$F32=0,"",'1. Inputs'!$F32)</f>
        <v>400</v>
      </c>
      <c r="H87" s="41">
        <f>IF('1. Inputs'!$F32=0,"",'1. Inputs'!$F32)</f>
        <v>400</v>
      </c>
      <c r="I87" s="41">
        <f>IF('1. Inputs'!$F32=0,"",'1. Inputs'!$F32)</f>
        <v>400</v>
      </c>
      <c r="J87" s="41">
        <f>IF('1. Inputs'!$F32=0,"",'1. Inputs'!$F32)</f>
        <v>400</v>
      </c>
      <c r="K87" s="41">
        <f>IF('1. Inputs'!$F32=0,"",'1. Inputs'!$F32)</f>
        <v>400</v>
      </c>
      <c r="L87" s="41">
        <f>IF('1. Inputs'!$F32=0,"",'1. Inputs'!$F32)</f>
        <v>400</v>
      </c>
      <c r="M87" s="41">
        <f>IF('1. Inputs'!$F32=0,"",'1. Inputs'!$F32)</f>
        <v>400</v>
      </c>
    </row>
    <row r="88" spans="2:13">
      <c r="B88" s="261" t="s">
        <v>8</v>
      </c>
      <c r="C88" s="261"/>
      <c r="D88" s="41">
        <f>IF('1. Inputs'!$F33=0,"",'1. Inputs'!$F33)</f>
        <v>400</v>
      </c>
      <c r="E88" s="41">
        <f>IF('1. Inputs'!$F33=0,"",'1. Inputs'!$F33)</f>
        <v>400</v>
      </c>
      <c r="F88" s="41">
        <f>IF('1. Inputs'!$F33=0,"",'1. Inputs'!$F33)</f>
        <v>400</v>
      </c>
      <c r="G88" s="41">
        <f>IF('1. Inputs'!$F33=0,"",'1. Inputs'!$F33)</f>
        <v>400</v>
      </c>
      <c r="H88" s="41">
        <f>IF('1. Inputs'!$F33=0,"",'1. Inputs'!$F33)</f>
        <v>400</v>
      </c>
      <c r="I88" s="41">
        <f>IF('1. Inputs'!$F33=0,"",'1. Inputs'!$F33)</f>
        <v>400</v>
      </c>
      <c r="J88" s="41">
        <f>IF('1. Inputs'!$F33=0,"",'1. Inputs'!$F33)</f>
        <v>400</v>
      </c>
      <c r="K88" s="41">
        <f>IF('1. Inputs'!$F33=0,"",'1. Inputs'!$F33)</f>
        <v>400</v>
      </c>
      <c r="L88" s="41">
        <f>IF('1. Inputs'!$F33=0,"",'1. Inputs'!$F33)</f>
        <v>400</v>
      </c>
      <c r="M88" s="41">
        <f>IF('1. Inputs'!$F33=0,"",'1. Inputs'!$F33)</f>
        <v>400</v>
      </c>
    </row>
    <row r="89" spans="2:13">
      <c r="B89" s="261" t="s">
        <v>9</v>
      </c>
      <c r="C89" s="261"/>
      <c r="D89" s="41">
        <f>IF('1. Inputs'!$F34=0,"",'1. Inputs'!$F34)</f>
        <v>100</v>
      </c>
      <c r="E89" s="41">
        <f>IF('1. Inputs'!$F34=0,"",'1. Inputs'!$F34)</f>
        <v>100</v>
      </c>
      <c r="F89" s="41">
        <f>IF('1. Inputs'!$F34=0,"",'1. Inputs'!$F34)</f>
        <v>100</v>
      </c>
      <c r="G89" s="41">
        <f>IF('1. Inputs'!$F34=0,"",'1. Inputs'!$F34)</f>
        <v>100</v>
      </c>
      <c r="H89" s="41">
        <f>IF('1. Inputs'!$F34=0,"",'1. Inputs'!$F34)</f>
        <v>100</v>
      </c>
      <c r="I89" s="41">
        <f>IF('1. Inputs'!$F34=0,"",'1. Inputs'!$F34)</f>
        <v>100</v>
      </c>
      <c r="J89" s="41">
        <f>IF('1. Inputs'!$F34=0,"",'1. Inputs'!$F34)</f>
        <v>100</v>
      </c>
      <c r="K89" s="41">
        <f>IF('1. Inputs'!$F34=0,"",'1. Inputs'!$F34)</f>
        <v>100</v>
      </c>
      <c r="L89" s="41">
        <f>IF('1. Inputs'!$F34=0,"",'1. Inputs'!$F34)</f>
        <v>100</v>
      </c>
      <c r="M89" s="41">
        <f>IF('1. Inputs'!$F34=0,"",'1. Inputs'!$F34)</f>
        <v>100</v>
      </c>
    </row>
    <row r="90" spans="2:13">
      <c r="B90" s="261" t="s">
        <v>32</v>
      </c>
      <c r="C90" s="261"/>
      <c r="D90" s="41">
        <f>IF('1. Inputs'!$F35=0,"",'1. Inputs'!$F35)</f>
        <v>500</v>
      </c>
      <c r="E90" s="41">
        <f>IF('1. Inputs'!$F35=0,"",'1. Inputs'!$F35)</f>
        <v>500</v>
      </c>
      <c r="F90" s="41">
        <f>IF('1. Inputs'!$F35=0,"",'1. Inputs'!$F35)</f>
        <v>500</v>
      </c>
      <c r="G90" s="41">
        <f>IF('1. Inputs'!$F35=0,"",'1. Inputs'!$F35)</f>
        <v>500</v>
      </c>
      <c r="H90" s="41">
        <f>IF('1. Inputs'!$F35=0,"",'1. Inputs'!$F35)</f>
        <v>500</v>
      </c>
      <c r="I90" s="41">
        <f>IF('1. Inputs'!$F35=0,"",'1. Inputs'!$F35)</f>
        <v>500</v>
      </c>
      <c r="J90" s="41">
        <f>IF('1. Inputs'!$F35=0,"",'1. Inputs'!$F35)</f>
        <v>500</v>
      </c>
      <c r="K90" s="41">
        <f>IF('1. Inputs'!$F35=0,"",'1. Inputs'!$F35)</f>
        <v>500</v>
      </c>
      <c r="L90" s="41">
        <f>IF('1. Inputs'!$F35=0,"",'1. Inputs'!$F35)</f>
        <v>500</v>
      </c>
      <c r="M90" s="41">
        <f>IF('1. Inputs'!$F35=0,"",'1. Inputs'!$F35)</f>
        <v>500</v>
      </c>
    </row>
    <row r="91" spans="2:13">
      <c r="B91" s="261" t="s">
        <v>33</v>
      </c>
      <c r="C91" s="261"/>
      <c r="D91" s="41"/>
      <c r="E91" s="41">
        <f>IF('1. Inputs'!$F36=0,"",'1. Inputs'!$F36)</f>
        <v>250</v>
      </c>
      <c r="F91" s="41">
        <f>IF('1. Inputs'!$F36=0,"",'1. Inputs'!$F36)</f>
        <v>250</v>
      </c>
      <c r="G91" s="41">
        <f>IF('1. Inputs'!$F36=0,"",'1. Inputs'!$F36)</f>
        <v>250</v>
      </c>
      <c r="H91" s="41">
        <f>IF('1. Inputs'!$F36=0,"",'1. Inputs'!$F36)</f>
        <v>250</v>
      </c>
      <c r="I91" s="41">
        <f>IF('1. Inputs'!$F36=0,"",'1. Inputs'!$F36)</f>
        <v>250</v>
      </c>
      <c r="J91" s="41">
        <f>IF('1. Inputs'!$F36=0,"",'1. Inputs'!$F36)</f>
        <v>250</v>
      </c>
      <c r="K91" s="41">
        <f>IF('1. Inputs'!$F36=0,"",'1. Inputs'!$F36)</f>
        <v>250</v>
      </c>
      <c r="L91" s="41">
        <f>IF('1. Inputs'!$F36=0,"",'1. Inputs'!$F36)</f>
        <v>250</v>
      </c>
      <c r="M91" s="41">
        <f>IF('1. Inputs'!$F36=0,"",'1. Inputs'!$F36)</f>
        <v>250</v>
      </c>
    </row>
    <row r="92" spans="2:13">
      <c r="B92" s="261" t="s">
        <v>12</v>
      </c>
      <c r="C92" s="261"/>
      <c r="D92" s="41">
        <f>IF('1. Inputs'!$F37=0,"",'1. Inputs'!$F37)</f>
        <v>400</v>
      </c>
      <c r="E92" s="41">
        <f>IF('1. Inputs'!$F37=0,"",'1. Inputs'!$F37)</f>
        <v>400</v>
      </c>
      <c r="F92" s="41">
        <f>IF('1. Inputs'!$F37=0,"",'1. Inputs'!$F37)</f>
        <v>400</v>
      </c>
      <c r="G92" s="41">
        <f>IF('1. Inputs'!$F37=0,"",'1. Inputs'!$F37)</f>
        <v>400</v>
      </c>
      <c r="H92" s="41">
        <f>IF('1. Inputs'!$F37=0,"",'1. Inputs'!$F37)</f>
        <v>400</v>
      </c>
      <c r="I92" s="41">
        <f>IF('1. Inputs'!$F37=0,"",'1. Inputs'!$F37)</f>
        <v>400</v>
      </c>
      <c r="J92" s="41">
        <f>IF('1. Inputs'!$F37=0,"",'1. Inputs'!$F37)</f>
        <v>400</v>
      </c>
      <c r="K92" s="41">
        <f>IF('1. Inputs'!$F37=0,"",'1. Inputs'!$F37)</f>
        <v>400</v>
      </c>
      <c r="L92" s="41">
        <f>IF('1. Inputs'!$F37=0,"",'1. Inputs'!$F37)</f>
        <v>400</v>
      </c>
      <c r="M92" s="41">
        <f>IF('1. Inputs'!$F37=0,"",'1. Inputs'!$F37)</f>
        <v>400</v>
      </c>
    </row>
    <row r="93" spans="2:13">
      <c r="B93" s="261" t="s">
        <v>165</v>
      </c>
      <c r="C93" s="261"/>
      <c r="D93" s="41">
        <f>IF('1. Inputs'!$F38=0,"",'1. Inputs'!$F38)</f>
        <v>100</v>
      </c>
      <c r="E93" s="41">
        <f>IF('1. Inputs'!$F38=0,"",'1. Inputs'!$F38)</f>
        <v>100</v>
      </c>
      <c r="F93" s="41">
        <f>IF('1. Inputs'!$F38=0,"",'1. Inputs'!$F38)</f>
        <v>100</v>
      </c>
      <c r="G93" s="41">
        <f>IF('1. Inputs'!$F38=0,"",'1. Inputs'!$F38)</f>
        <v>100</v>
      </c>
      <c r="H93" s="41">
        <f>IF('1. Inputs'!$F38=0,"",'1. Inputs'!$F38)</f>
        <v>100</v>
      </c>
      <c r="I93" s="41">
        <f>IF('1. Inputs'!$F38=0,"",'1. Inputs'!$F38)</f>
        <v>100</v>
      </c>
      <c r="J93" s="41">
        <f>IF('1. Inputs'!$F38=0,"",'1. Inputs'!$F38)</f>
        <v>100</v>
      </c>
      <c r="K93" s="41">
        <f>IF('1. Inputs'!$F38=0,"",'1. Inputs'!$F38)</f>
        <v>100</v>
      </c>
      <c r="L93" s="41">
        <f>IF('1. Inputs'!$F38=0,"",'1. Inputs'!$F38)</f>
        <v>100</v>
      </c>
      <c r="M93" s="41">
        <f>IF('1. Inputs'!$F38=0,"",'1. Inputs'!$F38)</f>
        <v>100</v>
      </c>
    </row>
    <row r="94" spans="2:13">
      <c r="B94" s="261" t="s">
        <v>14</v>
      </c>
      <c r="C94" s="261"/>
      <c r="D94" s="41">
        <f>IF('1. Inputs'!$F39=0,"",'1. Inputs'!$F39)</f>
        <v>150</v>
      </c>
      <c r="E94" s="41">
        <f>IF('1. Inputs'!$F39=0,"",'1. Inputs'!$F39)</f>
        <v>150</v>
      </c>
      <c r="F94" s="41">
        <f>IF('1. Inputs'!$F39=0,"",'1. Inputs'!$F39)</f>
        <v>150</v>
      </c>
      <c r="G94" s="41">
        <f>IF('1. Inputs'!$F39=0,"",'1. Inputs'!$F39)</f>
        <v>150</v>
      </c>
      <c r="H94" s="41">
        <f>IF('1. Inputs'!$F39=0,"",'1. Inputs'!$F39)</f>
        <v>150</v>
      </c>
      <c r="I94" s="41">
        <f>IF('1. Inputs'!$F39=0,"",'1. Inputs'!$F39)</f>
        <v>150</v>
      </c>
      <c r="J94" s="41">
        <f>IF('1. Inputs'!$F39=0,"",'1. Inputs'!$F39)</f>
        <v>150</v>
      </c>
      <c r="K94" s="41">
        <f>IF('1. Inputs'!$F39=0,"",'1. Inputs'!$F39)</f>
        <v>150</v>
      </c>
      <c r="L94" s="41">
        <f>IF('1. Inputs'!$F39=0,"",'1. Inputs'!$F39)</f>
        <v>150</v>
      </c>
      <c r="M94" s="41">
        <f>IF('1. Inputs'!$F39=0,"",'1. Inputs'!$F39)</f>
        <v>150</v>
      </c>
    </row>
    <row r="95" spans="2:13">
      <c r="B95" s="261" t="s">
        <v>13</v>
      </c>
      <c r="C95" s="261"/>
      <c r="D95" s="41">
        <f>IF('1. Inputs'!$F40=0,"",'1. Inputs'!$F40)</f>
        <v>500</v>
      </c>
      <c r="E95" s="41">
        <f>IF('1. Inputs'!$F40=0,"",'1. Inputs'!$F40)</f>
        <v>500</v>
      </c>
      <c r="F95" s="41">
        <f>IF('1. Inputs'!$F40=0,"",'1. Inputs'!$F40)</f>
        <v>500</v>
      </c>
      <c r="G95" s="41">
        <f>IF('1. Inputs'!$F40=0,"",'1. Inputs'!$F40)</f>
        <v>500</v>
      </c>
      <c r="H95" s="41">
        <f>IF('1. Inputs'!$F40=0,"",'1. Inputs'!$F40)</f>
        <v>500</v>
      </c>
      <c r="I95" s="41">
        <f>IF('1. Inputs'!$F40=0,"",'1. Inputs'!$F40)</f>
        <v>500</v>
      </c>
      <c r="J95" s="41">
        <f>IF('1. Inputs'!$F40=0,"",'1. Inputs'!$F40)</f>
        <v>500</v>
      </c>
      <c r="K95" s="41">
        <f>IF('1. Inputs'!$F40=0,"",'1. Inputs'!$F40)</f>
        <v>500</v>
      </c>
      <c r="L95" s="41">
        <f>IF('1. Inputs'!$F40=0,"",'1. Inputs'!$F40)</f>
        <v>500</v>
      </c>
      <c r="M95" s="41">
        <f>IF('1. Inputs'!$F40=0,"",'1. Inputs'!$F40)</f>
        <v>500</v>
      </c>
    </row>
    <row r="96" spans="2:13">
      <c r="B96" s="261" t="s">
        <v>19</v>
      </c>
      <c r="C96" s="261"/>
      <c r="D96" s="41"/>
      <c r="E96" s="41">
        <f>IF('1. Inputs'!$F41=0,"",'1. Inputs'!$F41)</f>
        <v>250</v>
      </c>
      <c r="F96" s="41">
        <f>IF('1. Inputs'!$F41=0,"",'1. Inputs'!$F41)</f>
        <v>250</v>
      </c>
      <c r="G96" s="41">
        <f>IF('1. Inputs'!$F41=0,"",'1. Inputs'!$F41)</f>
        <v>250</v>
      </c>
      <c r="H96" s="41">
        <f>IF('1. Inputs'!$F41=0,"",'1. Inputs'!$F41)</f>
        <v>250</v>
      </c>
      <c r="I96" s="41">
        <f>IF('1. Inputs'!$F41=0,"",'1. Inputs'!$F41)</f>
        <v>250</v>
      </c>
      <c r="J96" s="41">
        <f>IF('1. Inputs'!$F41=0,"",'1. Inputs'!$F41)</f>
        <v>250</v>
      </c>
      <c r="K96" s="41">
        <f>IF('1. Inputs'!$F41=0,"",'1. Inputs'!$F41)</f>
        <v>250</v>
      </c>
      <c r="L96" s="41">
        <f>IF('1. Inputs'!$F41=0,"",'1. Inputs'!$F41)</f>
        <v>250</v>
      </c>
      <c r="M96" s="41">
        <f>IF('1. Inputs'!$F41=0,"",'1. Inputs'!$F41)</f>
        <v>250</v>
      </c>
    </row>
    <row r="97" spans="2:13">
      <c r="B97" s="261" t="s">
        <v>166</v>
      </c>
      <c r="C97" s="261"/>
      <c r="D97" s="41">
        <f>IF('1. Inputs'!$F42=0,"",'1. Inputs'!$F42)</f>
        <v>100</v>
      </c>
      <c r="E97" s="41">
        <f>IF('1. Inputs'!$F42=0,"",'1. Inputs'!$F42)</f>
        <v>100</v>
      </c>
      <c r="F97" s="41">
        <f>IF('1. Inputs'!$F42=0,"",'1. Inputs'!$F42)</f>
        <v>100</v>
      </c>
      <c r="G97" s="41">
        <f>IF('1. Inputs'!$F42=0,"",'1. Inputs'!$F42)</f>
        <v>100</v>
      </c>
      <c r="H97" s="41">
        <f>IF('1. Inputs'!$F42=0,"",'1. Inputs'!$F42)</f>
        <v>100</v>
      </c>
      <c r="I97" s="41">
        <f>IF('1. Inputs'!$F42=0,"",'1. Inputs'!$F42)</f>
        <v>100</v>
      </c>
      <c r="J97" s="41">
        <f>IF('1. Inputs'!$F42=0,"",'1. Inputs'!$F42)</f>
        <v>100</v>
      </c>
      <c r="K97" s="41">
        <f>IF('1. Inputs'!$F42=0,"",'1. Inputs'!$F42)</f>
        <v>100</v>
      </c>
      <c r="L97" s="41">
        <f>IF('1. Inputs'!$F42=0,"",'1. Inputs'!$F42)</f>
        <v>100</v>
      </c>
      <c r="M97" s="41">
        <f>IF('1. Inputs'!$F42=0,"",'1. Inputs'!$F42)</f>
        <v>100</v>
      </c>
    </row>
    <row r="98" spans="2:13">
      <c r="B98" s="261" t="s">
        <v>20</v>
      </c>
      <c r="C98" s="261"/>
      <c r="D98" s="41"/>
      <c r="E98" s="41"/>
      <c r="F98" s="41">
        <f>IF('1. Inputs'!$F43=0,"",'1. Inputs'!$F43)</f>
        <v>100</v>
      </c>
      <c r="G98" s="41">
        <f>IF('1. Inputs'!$F43=0,"",'1. Inputs'!$F43)</f>
        <v>100</v>
      </c>
      <c r="H98" s="41">
        <f>IF('1. Inputs'!$F43=0,"",'1. Inputs'!$F43)</f>
        <v>100</v>
      </c>
      <c r="I98" s="41">
        <f>IF('1. Inputs'!$F43=0,"",'1. Inputs'!$F43)</f>
        <v>100</v>
      </c>
      <c r="J98" s="41">
        <f>IF('1. Inputs'!$F43=0,"",'1. Inputs'!$F43)</f>
        <v>100</v>
      </c>
      <c r="K98" s="41">
        <f>IF('1. Inputs'!$F43=0,"",'1. Inputs'!$F43)</f>
        <v>100</v>
      </c>
      <c r="L98" s="41">
        <f>IF('1. Inputs'!$F43=0,"",'1. Inputs'!$F43)</f>
        <v>100</v>
      </c>
      <c r="M98" s="41">
        <f>IF('1. Inputs'!$F43=0,"",'1. Inputs'!$F43)</f>
        <v>100</v>
      </c>
    </row>
    <row r="99" spans="2:13">
      <c r="B99" s="261" t="s">
        <v>21</v>
      </c>
      <c r="C99" s="261"/>
      <c r="D99" s="41"/>
      <c r="E99" s="41">
        <f>IF('1. Inputs'!$F44=0,"",'1. Inputs'!$F44)</f>
        <v>20</v>
      </c>
      <c r="F99" s="41">
        <f>IF('1. Inputs'!$F44=0,"",'1. Inputs'!$F44)</f>
        <v>20</v>
      </c>
      <c r="G99" s="41">
        <f>IF('1. Inputs'!$F44=0,"",'1. Inputs'!$F44)</f>
        <v>20</v>
      </c>
      <c r="H99" s="41">
        <f>IF('1. Inputs'!$F44=0,"",'1. Inputs'!$F44)</f>
        <v>20</v>
      </c>
      <c r="I99" s="41">
        <f>IF('1. Inputs'!$F44=0,"",'1. Inputs'!$F44)</f>
        <v>20</v>
      </c>
      <c r="J99" s="41">
        <f>IF('1. Inputs'!$F44=0,"",'1. Inputs'!$F44)</f>
        <v>20</v>
      </c>
      <c r="K99" s="41">
        <f>IF('1. Inputs'!$F44=0,"",'1. Inputs'!$F44)</f>
        <v>20</v>
      </c>
      <c r="L99" s="41">
        <f>IF('1. Inputs'!$F44=0,"",'1. Inputs'!$F44)</f>
        <v>20</v>
      </c>
      <c r="M99" s="41">
        <f>IF('1. Inputs'!$F44=0,"",'1. Inputs'!$F44)</f>
        <v>20</v>
      </c>
    </row>
    <row r="100" spans="2:13">
      <c r="B100" s="261" t="s">
        <v>22</v>
      </c>
      <c r="C100" s="261"/>
      <c r="D100" s="41"/>
      <c r="E100" s="41">
        <f>IF('1. Inputs'!$F45=0,"",'1. Inputs'!$F45)</f>
        <v>50</v>
      </c>
      <c r="F100" s="41">
        <f>IF('1. Inputs'!$F45=0,"",'1. Inputs'!$F45)</f>
        <v>50</v>
      </c>
      <c r="G100" s="41">
        <f>IF('1. Inputs'!$F45=0,"",'1. Inputs'!$F45)</f>
        <v>50</v>
      </c>
      <c r="H100" s="41">
        <f>IF('1. Inputs'!$F45=0,"",'1. Inputs'!$F45)</f>
        <v>50</v>
      </c>
      <c r="I100" s="41">
        <f>IF('1. Inputs'!$F45=0,"",'1. Inputs'!$F45)</f>
        <v>50</v>
      </c>
      <c r="J100" s="41">
        <f>IF('1. Inputs'!$F45=0,"",'1. Inputs'!$F45)</f>
        <v>50</v>
      </c>
      <c r="K100" s="41">
        <f>IF('1. Inputs'!$F45=0,"",'1. Inputs'!$F45)</f>
        <v>50</v>
      </c>
      <c r="L100" s="41">
        <f>IF('1. Inputs'!$F45=0,"",'1. Inputs'!$F45)</f>
        <v>50</v>
      </c>
      <c r="M100" s="41">
        <f>IF('1. Inputs'!$F45=0,"",'1. Inputs'!$F45)</f>
        <v>50</v>
      </c>
    </row>
    <row r="101" spans="2:13">
      <c r="B101" s="261" t="s">
        <v>167</v>
      </c>
      <c r="C101" s="261"/>
      <c r="D101" s="41" t="str">
        <f>IF('1. Inputs'!$F46=0,"",'1. Inputs'!$F46)</f>
        <v/>
      </c>
      <c r="E101" s="41" t="str">
        <f>IF('1. Inputs'!$F46=0,"",'1. Inputs'!$F46)</f>
        <v/>
      </c>
      <c r="F101" s="41" t="str">
        <f>IF('1. Inputs'!$F46=0,"",'1. Inputs'!$F46)</f>
        <v/>
      </c>
      <c r="G101" s="41" t="str">
        <f>IF('1. Inputs'!$F46=0,"",'1. Inputs'!$F46)</f>
        <v/>
      </c>
      <c r="H101" s="41" t="str">
        <f>IF('1. Inputs'!$F46=0,"",'1. Inputs'!$F46)</f>
        <v/>
      </c>
      <c r="I101" s="41" t="str">
        <f>IF('1. Inputs'!$F46=0,"",'1. Inputs'!$F46)</f>
        <v/>
      </c>
      <c r="J101" s="41" t="str">
        <f>IF('1. Inputs'!$F46=0,"",'1. Inputs'!$F46)</f>
        <v/>
      </c>
      <c r="K101" s="41" t="str">
        <f>IF('1. Inputs'!$F46=0,"",'1. Inputs'!$F46)</f>
        <v/>
      </c>
      <c r="L101" s="41" t="str">
        <f>IF('1. Inputs'!$F46=0,"",'1. Inputs'!$F46)</f>
        <v/>
      </c>
      <c r="M101" s="41" t="str">
        <f>IF('1. Inputs'!$F46=0,"",'1. Inputs'!$F46)</f>
        <v/>
      </c>
    </row>
    <row r="102" spans="2:13">
      <c r="B102" s="261" t="s">
        <v>168</v>
      </c>
      <c r="C102" s="261"/>
      <c r="D102" s="41" t="str">
        <f>IF('1. Inputs'!$F47=0,"",'1. Inputs'!$F47)</f>
        <v/>
      </c>
      <c r="E102" s="41" t="str">
        <f>IF('1. Inputs'!$F47=0,"",'1. Inputs'!$F47)</f>
        <v/>
      </c>
      <c r="F102" s="41" t="str">
        <f>IF('1. Inputs'!$F47=0,"",'1. Inputs'!$F47)</f>
        <v/>
      </c>
      <c r="G102" s="41" t="str">
        <f>IF('1. Inputs'!$F47=0,"",'1. Inputs'!$F47)</f>
        <v/>
      </c>
      <c r="H102" s="41" t="str">
        <f>IF('1. Inputs'!$F47=0,"",'1. Inputs'!$F47)</f>
        <v/>
      </c>
      <c r="I102" s="41" t="str">
        <f>IF('1. Inputs'!$F47=0,"",'1. Inputs'!$F47)</f>
        <v/>
      </c>
      <c r="J102" s="41" t="str">
        <f>IF('1. Inputs'!$F47=0,"",'1. Inputs'!$F47)</f>
        <v/>
      </c>
      <c r="K102" s="41" t="str">
        <f>IF('1. Inputs'!$F47=0,"",'1. Inputs'!$F47)</f>
        <v/>
      </c>
      <c r="L102" s="41" t="str">
        <f>IF('1. Inputs'!$F47=0,"",'1. Inputs'!$F47)</f>
        <v/>
      </c>
      <c r="M102" s="41" t="str">
        <f>IF('1. Inputs'!$F47=0,"",'1. Inputs'!$F47)</f>
        <v/>
      </c>
    </row>
    <row r="103" spans="2:13">
      <c r="B103" s="262" t="s">
        <v>119</v>
      </c>
      <c r="C103" s="262"/>
      <c r="D103" s="42">
        <f>SUM(D81:D102)</f>
        <v>3830</v>
      </c>
      <c r="E103" s="42">
        <f>SUM(E81:E102)</f>
        <v>3800</v>
      </c>
      <c r="F103" s="42">
        <f t="shared" ref="F103:M103" si="30">SUM(F81:F102)</f>
        <v>3900</v>
      </c>
      <c r="G103" s="42">
        <f t="shared" si="30"/>
        <v>3720</v>
      </c>
      <c r="H103" s="42">
        <f t="shared" si="30"/>
        <v>3720</v>
      </c>
      <c r="I103" s="42">
        <f t="shared" si="30"/>
        <v>3720</v>
      </c>
      <c r="J103" s="42">
        <f t="shared" si="30"/>
        <v>3720</v>
      </c>
      <c r="K103" s="42">
        <f t="shared" si="30"/>
        <v>3720</v>
      </c>
      <c r="L103" s="42">
        <f t="shared" si="30"/>
        <v>3720</v>
      </c>
      <c r="M103" s="42">
        <f t="shared" si="30"/>
        <v>3720</v>
      </c>
    </row>
    <row r="104" spans="2:13">
      <c r="B104" s="263" t="s">
        <v>121</v>
      </c>
      <c r="C104" s="263"/>
      <c r="D104" s="42">
        <f>SUM(D79, D103*-1)</f>
        <v>-3830</v>
      </c>
      <c r="E104" s="42">
        <f t="shared" ref="E104:M104" si="31">SUM(E79, E103*-1)</f>
        <v>-1970.9749999999999</v>
      </c>
      <c r="F104" s="42">
        <f t="shared" si="31"/>
        <v>-1156.4624999999996</v>
      </c>
      <c r="G104" s="42">
        <f t="shared" si="31"/>
        <v>-61.949999999999818</v>
      </c>
      <c r="H104" s="42">
        <f t="shared" si="31"/>
        <v>-61.949999999999818</v>
      </c>
      <c r="I104" s="42">
        <f t="shared" si="31"/>
        <v>-61.949999999999818</v>
      </c>
      <c r="J104" s="42">
        <f t="shared" si="31"/>
        <v>-61.949999999999818</v>
      </c>
      <c r="K104" s="42">
        <f t="shared" si="31"/>
        <v>-61.949999999999818</v>
      </c>
      <c r="L104" s="42">
        <f t="shared" si="31"/>
        <v>-61.949999999999818</v>
      </c>
      <c r="M104" s="42">
        <f t="shared" si="31"/>
        <v>-61.949999999999818</v>
      </c>
    </row>
    <row r="105" spans="2:13">
      <c r="B105" s="267" t="s">
        <v>122</v>
      </c>
      <c r="C105" s="267"/>
      <c r="D105" s="45">
        <f>D104</f>
        <v>-3830</v>
      </c>
      <c r="E105" s="45">
        <f>E104+D105</f>
        <v>-5800.9750000000004</v>
      </c>
      <c r="F105" s="45">
        <f t="shared" ref="F105" si="32">F104+E105</f>
        <v>-6957.4375</v>
      </c>
      <c r="G105" s="45">
        <f t="shared" ref="G105" si="33">G104+F105</f>
        <v>-7019.3874999999998</v>
      </c>
      <c r="H105" s="45">
        <f t="shared" ref="H105" si="34">H104+G105</f>
        <v>-7081.3374999999996</v>
      </c>
      <c r="I105" s="45">
        <f t="shared" ref="I105" si="35">I104+H105</f>
        <v>-7143.2874999999995</v>
      </c>
      <c r="J105" s="45">
        <f t="shared" ref="J105" si="36">J104+I105</f>
        <v>-7205.2374999999993</v>
      </c>
      <c r="K105" s="45">
        <f t="shared" ref="K105" si="37">K104+J105</f>
        <v>-7267.1874999999991</v>
      </c>
      <c r="L105" s="45">
        <f t="shared" ref="L105" si="38">L104+K105</f>
        <v>-7329.1374999999989</v>
      </c>
      <c r="M105" s="45">
        <f>M104+L105</f>
        <v>-7391.0874999999987</v>
      </c>
    </row>
    <row r="106" spans="2:13">
      <c r="B106" s="29"/>
      <c r="C106" s="29"/>
      <c r="D106" s="30"/>
      <c r="E106" s="30"/>
      <c r="F106" s="30"/>
      <c r="G106" s="30"/>
      <c r="H106" s="30"/>
      <c r="I106" s="30"/>
      <c r="J106" s="30"/>
      <c r="K106" s="30"/>
      <c r="L106" s="30"/>
      <c r="M106" s="30"/>
    </row>
    <row r="107" spans="2:13">
      <c r="B107" s="29"/>
      <c r="C107" s="29"/>
      <c r="D107" s="30"/>
      <c r="E107" s="30"/>
      <c r="F107" s="30"/>
      <c r="G107" s="30"/>
      <c r="H107" s="30"/>
      <c r="I107" s="30"/>
      <c r="J107" s="30"/>
      <c r="K107" s="30"/>
      <c r="L107" s="30"/>
      <c r="M107" s="30"/>
    </row>
    <row r="108" spans="2:13" ht="18.5">
      <c r="B108" s="19" t="s">
        <v>28</v>
      </c>
    </row>
    <row r="109" spans="2:13" ht="7" customHeight="1"/>
    <row r="110" spans="2:13" ht="15.5">
      <c r="B110" s="20" t="s">
        <v>45</v>
      </c>
      <c r="C110" s="33"/>
      <c r="D110" s="20" t="str">
        <f>"VARIETY:  "&amp;'1. Inputs'!E65</f>
        <v>VARIETY:  MULLICA QUEEN</v>
      </c>
      <c r="F110" s="31"/>
      <c r="G110" s="28"/>
    </row>
    <row r="111" spans="2:13" ht="14.15" customHeight="1">
      <c r="B111" s="260"/>
      <c r="C111" s="260"/>
      <c r="D111" s="137" t="s">
        <v>66</v>
      </c>
      <c r="E111" s="137" t="s">
        <v>57</v>
      </c>
      <c r="F111" s="137" t="s">
        <v>58</v>
      </c>
      <c r="G111" s="137" t="s">
        <v>59</v>
      </c>
      <c r="H111" s="137" t="s">
        <v>60</v>
      </c>
      <c r="I111" s="137" t="s">
        <v>61</v>
      </c>
      <c r="J111" s="137" t="s">
        <v>62</v>
      </c>
      <c r="K111" s="137" t="s">
        <v>63</v>
      </c>
      <c r="L111" s="137" t="s">
        <v>64</v>
      </c>
      <c r="M111" s="137" t="s">
        <v>65</v>
      </c>
    </row>
    <row r="112" spans="2:13" ht="14.15" customHeight="1">
      <c r="B112" s="264" t="s">
        <v>116</v>
      </c>
      <c r="C112" s="264"/>
      <c r="D112" s="28"/>
      <c r="E112" s="28"/>
      <c r="F112" s="28"/>
      <c r="G112" s="28"/>
      <c r="H112" s="28"/>
      <c r="I112" s="28"/>
      <c r="J112" s="28"/>
      <c r="K112" s="28"/>
      <c r="L112" s="28"/>
      <c r="M112" s="28"/>
    </row>
    <row r="113" spans="2:13" ht="14.15" customHeight="1">
      <c r="B113" s="265" t="s">
        <v>117</v>
      </c>
      <c r="C113" s="265"/>
      <c r="D113" s="40">
        <f>VLOOKUP('1. Inputs'!$E$65,'Variety Data'!$B$6:$Q$21,2,FALSE)</f>
        <v>0</v>
      </c>
      <c r="E113" s="40">
        <f>VLOOKUP('1. Inputs'!$E$65,'Variety Data'!$B$6:$Q$21,3,FALSE)</f>
        <v>155</v>
      </c>
      <c r="F113" s="40">
        <f>VLOOKUP('1. Inputs'!$E$65,'Variety Data'!$B$6:$Q$21,4,FALSE)</f>
        <v>400</v>
      </c>
      <c r="G113" s="40">
        <f>VLOOKUP('1. Inputs'!$E$65,'Variety Data'!$B$6:$Q$21,5,FALSE)</f>
        <v>400</v>
      </c>
      <c r="H113" s="40">
        <f>VLOOKUP('1. Inputs'!$E$65,'Variety Data'!$B$6:$Q$21,6,FALSE)</f>
        <v>400</v>
      </c>
      <c r="I113" s="40">
        <f>VLOOKUP('1. Inputs'!$E$65,'Variety Data'!$B$6:$Q$21,7,FALSE)</f>
        <v>400</v>
      </c>
      <c r="J113" s="40">
        <f>VLOOKUP('1. Inputs'!$E$65,'Variety Data'!$B$6:$Q$21,8,FALSE)</f>
        <v>400</v>
      </c>
      <c r="K113" s="40">
        <f>VLOOKUP('1. Inputs'!$E$65,'Variety Data'!$B$6:$Q$21,9,FALSE)</f>
        <v>400</v>
      </c>
      <c r="L113" s="40">
        <f>VLOOKUP('1. Inputs'!$E$65,'Variety Data'!$B$6:$Q$21,10,FALSE)</f>
        <v>400</v>
      </c>
      <c r="M113" s="40">
        <f>VLOOKUP('1. Inputs'!$E$65,'Variety Data'!$B$6:$Q$21,11,FALSE)</f>
        <v>400</v>
      </c>
    </row>
    <row r="114" spans="2:13" ht="14.15" customHeight="1">
      <c r="B114" s="139" t="str">
        <f>"Revenue @ $"&amp;ROUND('1. Inputs'!$H$23,2)&amp;" /bbl"</f>
        <v>Revenue @ $33.26 /bbl</v>
      </c>
      <c r="C114" s="139"/>
      <c r="D114" s="41" t="str">
        <f>IF('1. Inputs'!$H$23*D113=0,"",'1. Inputs'!$H$23*D113)</f>
        <v/>
      </c>
      <c r="E114" s="41">
        <f>IF('1. Inputs'!$H$23*E113=0,"",'1. Inputs'!$H$23*E113)</f>
        <v>5154.5250000000005</v>
      </c>
      <c r="F114" s="41">
        <f>IF('1. Inputs'!$H$23*F113=0,"",'1. Inputs'!$H$23*F113)</f>
        <v>13302.000000000002</v>
      </c>
      <c r="G114" s="41">
        <f>IF('1. Inputs'!$H$23*G113=0,"",'1. Inputs'!$H$23*G113)</f>
        <v>13302.000000000002</v>
      </c>
      <c r="H114" s="41">
        <f>IF('1. Inputs'!$H$23*H113=0,"",'1. Inputs'!$H$23*H113)</f>
        <v>13302.000000000002</v>
      </c>
      <c r="I114" s="41">
        <f>IF('1. Inputs'!$H$23*I113=0,"",'1. Inputs'!$H$23*I113)</f>
        <v>13302.000000000002</v>
      </c>
      <c r="J114" s="41">
        <f>IF('1. Inputs'!$H$23*J113=0,"",'1. Inputs'!$H$23*J113)</f>
        <v>13302.000000000002</v>
      </c>
      <c r="K114" s="41">
        <f>IF('1. Inputs'!$H$23*K113=0,"",'1. Inputs'!$H$23*K113)</f>
        <v>13302.000000000002</v>
      </c>
      <c r="L114" s="41">
        <f>IF('1. Inputs'!$H$23*L113=0,"",'1. Inputs'!$H$23*L113)</f>
        <v>13302.000000000002</v>
      </c>
      <c r="M114" s="41">
        <f>IF('1. Inputs'!$H$23*M113=0,"",'1. Inputs'!$H$23*M113)</f>
        <v>13302.000000000002</v>
      </c>
    </row>
    <row r="115" spans="2:13" ht="14.15" customHeight="1">
      <c r="B115" s="262" t="s">
        <v>120</v>
      </c>
      <c r="C115" s="262"/>
      <c r="D115" s="42" t="str">
        <f>D114</f>
        <v/>
      </c>
      <c r="E115" s="42">
        <f t="shared" ref="E115" si="39">E114</f>
        <v>5154.5250000000005</v>
      </c>
      <c r="F115" s="42">
        <f t="shared" ref="F115" si="40">F114</f>
        <v>13302.000000000002</v>
      </c>
      <c r="G115" s="42">
        <f t="shared" ref="G115" si="41">G114</f>
        <v>13302.000000000002</v>
      </c>
      <c r="H115" s="42">
        <f t="shared" ref="H115" si="42">H114</f>
        <v>13302.000000000002</v>
      </c>
      <c r="I115" s="42">
        <f t="shared" ref="I115" si="43">I114</f>
        <v>13302.000000000002</v>
      </c>
      <c r="J115" s="42">
        <f t="shared" ref="J115" si="44">J114</f>
        <v>13302.000000000002</v>
      </c>
      <c r="K115" s="42">
        <f t="shared" ref="K115" si="45">K114</f>
        <v>13302.000000000002</v>
      </c>
      <c r="L115" s="42">
        <f t="shared" ref="L115" si="46">L114</f>
        <v>13302.000000000002</v>
      </c>
      <c r="M115" s="42">
        <f t="shared" ref="M115" si="47">M114</f>
        <v>13302.000000000002</v>
      </c>
    </row>
    <row r="116" spans="2:13" ht="14.15" customHeight="1">
      <c r="B116" s="266" t="s">
        <v>118</v>
      </c>
      <c r="C116" s="266"/>
      <c r="D116" s="41"/>
      <c r="E116" s="41"/>
      <c r="F116" s="41"/>
      <c r="G116" s="41"/>
      <c r="H116" s="41"/>
      <c r="I116" s="41"/>
      <c r="J116" s="41"/>
      <c r="K116" s="41"/>
      <c r="L116" s="41"/>
      <c r="M116" s="41"/>
    </row>
    <row r="117" spans="2:13" ht="14.15" customHeight="1">
      <c r="B117" s="140" t="s">
        <v>18</v>
      </c>
      <c r="C117" s="140"/>
      <c r="D117" s="41">
        <f>IF('1. Inputs'!$F71=0,"",'1. Inputs'!$F71)</f>
        <v>2000</v>
      </c>
      <c r="E117" s="41"/>
      <c r="F117" s="41"/>
      <c r="G117" s="41"/>
      <c r="H117" s="41"/>
      <c r="I117" s="41"/>
      <c r="J117" s="41"/>
      <c r="K117" s="41"/>
      <c r="L117" s="41"/>
      <c r="M117" s="41"/>
    </row>
    <row r="118" spans="2:13" ht="14.15" customHeight="1">
      <c r="B118" s="140" t="s">
        <v>15</v>
      </c>
      <c r="C118" s="140"/>
      <c r="D118" s="41">
        <f>IF('1. Inputs'!$F72=0,"",'1. Inputs'!$F72)</f>
        <v>50</v>
      </c>
      <c r="E118" s="41"/>
      <c r="F118" s="41"/>
      <c r="G118" s="41"/>
      <c r="H118" s="41"/>
      <c r="I118" s="41"/>
      <c r="J118" s="41"/>
      <c r="K118" s="41"/>
      <c r="L118" s="41"/>
      <c r="M118" s="41"/>
    </row>
    <row r="119" spans="2:13" ht="14.15" customHeight="1">
      <c r="B119" s="140" t="s">
        <v>16</v>
      </c>
      <c r="C119" s="140"/>
      <c r="D119" s="41">
        <f>IF('1. Inputs'!$F73=0,"",'1. Inputs'!$F73)</f>
        <v>4000</v>
      </c>
      <c r="E119" s="41"/>
      <c r="F119" s="41"/>
      <c r="G119" s="41"/>
      <c r="H119" s="41"/>
      <c r="I119" s="41"/>
      <c r="J119" s="41"/>
      <c r="K119" s="41"/>
      <c r="L119" s="41"/>
      <c r="M119" s="41"/>
    </row>
    <row r="120" spans="2:13" ht="14.15" customHeight="1">
      <c r="B120" s="140" t="s">
        <v>3</v>
      </c>
      <c r="C120" s="140"/>
      <c r="D120" s="41">
        <f>IF('1. Inputs'!$F74=0,"",'1. Inputs'!$F74)</f>
        <v>500</v>
      </c>
      <c r="E120" s="41"/>
      <c r="F120" s="41"/>
      <c r="G120" s="41"/>
      <c r="H120" s="41"/>
      <c r="I120" s="41"/>
      <c r="J120" s="41"/>
      <c r="K120" s="41"/>
      <c r="L120" s="41"/>
      <c r="M120" s="41"/>
    </row>
    <row r="121" spans="2:13" ht="14.15" customHeight="1">
      <c r="B121" s="140" t="s">
        <v>17</v>
      </c>
      <c r="C121" s="140"/>
      <c r="D121" s="41">
        <f>IF('1. Inputs'!$F75=0,"",'1. Inputs'!$F75)</f>
        <v>500</v>
      </c>
      <c r="E121" s="41"/>
      <c r="F121" s="41"/>
      <c r="G121" s="41"/>
      <c r="H121" s="41"/>
      <c r="I121" s="41"/>
      <c r="J121" s="41"/>
      <c r="K121" s="41"/>
      <c r="L121" s="41"/>
      <c r="M121" s="41"/>
    </row>
    <row r="122" spans="2:13" ht="14.15" customHeight="1">
      <c r="B122" s="140" t="s">
        <v>213</v>
      </c>
      <c r="C122" s="140"/>
      <c r="D122" s="41">
        <f>IF('1. Inputs'!$F76=0,"",'1. Inputs'!$F76)</f>
        <v>2194.83</v>
      </c>
      <c r="E122" s="41"/>
      <c r="F122" s="41"/>
      <c r="G122" s="41"/>
      <c r="H122" s="41"/>
      <c r="I122" s="41"/>
      <c r="J122" s="41"/>
      <c r="K122" s="41"/>
      <c r="L122" s="41"/>
      <c r="M122" s="41"/>
    </row>
    <row r="123" spans="2:13" ht="14.15" customHeight="1">
      <c r="B123" s="162" t="s">
        <v>212</v>
      </c>
      <c r="C123" s="162"/>
      <c r="D123" s="41" t="str">
        <f>IF('1. Inputs'!$F77=0,"",'1. Inputs'!$F77)</f>
        <v/>
      </c>
      <c r="E123" s="41" t="str">
        <f>IF('1. Inputs'!$F77=0,"",'1. Inputs'!$F77)</f>
        <v/>
      </c>
      <c r="F123" s="41" t="str">
        <f>IF('1. Inputs'!$F77=0,"",'1. Inputs'!$F77)</f>
        <v/>
      </c>
      <c r="G123" s="41" t="str">
        <f>IF('1. Inputs'!$F77=0,"",'1. Inputs'!$F77)</f>
        <v/>
      </c>
      <c r="H123" s="41" t="str">
        <f>IF('1. Inputs'!$F77=0,"",'1. Inputs'!$F77)</f>
        <v/>
      </c>
      <c r="I123" s="41" t="str">
        <f>IF('1. Inputs'!$F77=0,"",'1. Inputs'!$F77)</f>
        <v/>
      </c>
      <c r="J123" s="41" t="str">
        <f>IF('1. Inputs'!$F77=0,"",'1. Inputs'!$F77)</f>
        <v/>
      </c>
      <c r="K123" s="41" t="str">
        <f>IF('1. Inputs'!$F77=0,"",'1. Inputs'!$F77)</f>
        <v/>
      </c>
      <c r="L123" s="41" t="str">
        <f>IF('1. Inputs'!$F77=0,"",'1. Inputs'!$F77)</f>
        <v/>
      </c>
      <c r="M123" s="41" t="str">
        <f>IF('1. Inputs'!$F77=0,"",'1. Inputs'!$F77)</f>
        <v/>
      </c>
    </row>
    <row r="124" spans="2:13" ht="14.15" customHeight="1">
      <c r="B124" s="140" t="s">
        <v>173</v>
      </c>
      <c r="C124" s="140"/>
      <c r="D124" s="41" t="str">
        <f>IF('1. Inputs'!$F78=0,"",'1. Inputs'!$F78)</f>
        <v/>
      </c>
      <c r="E124" s="41"/>
      <c r="F124" s="41"/>
      <c r="G124" s="41"/>
      <c r="H124" s="41"/>
      <c r="I124" s="41"/>
      <c r="J124" s="41"/>
      <c r="K124" s="41"/>
      <c r="L124" s="41"/>
      <c r="M124" s="41"/>
    </row>
    <row r="125" spans="2:13" ht="14.15" customHeight="1">
      <c r="B125" s="140" t="s">
        <v>174</v>
      </c>
      <c r="C125" s="140"/>
      <c r="D125" s="41" t="str">
        <f>IF('1. Inputs'!$F79=0,"",'1. Inputs'!$F79)</f>
        <v/>
      </c>
      <c r="E125" s="41"/>
      <c r="F125" s="41"/>
      <c r="G125" s="41"/>
      <c r="H125" s="41"/>
      <c r="I125" s="41"/>
      <c r="J125" s="41"/>
      <c r="K125" s="41"/>
      <c r="L125" s="41"/>
      <c r="M125" s="41"/>
    </row>
    <row r="126" spans="2:13" ht="14.15" customHeight="1">
      <c r="B126" s="140" t="s">
        <v>80</v>
      </c>
      <c r="C126" s="140"/>
      <c r="D126" s="41">
        <f>(((('1. Inputs'!F68*(1-0))*'1. Inputs'!F69)*'2. Return on Investment Summary'!J5)/'1. Inputs'!F14)</f>
        <v>3325.5000000000005</v>
      </c>
      <c r="E126" s="41">
        <f>(((('1. Inputs'!F68*(1-0.5))*'1. Inputs'!F69)*'2. Return on Investment Summary'!J5)/'1. Inputs'!F14)</f>
        <v>1662.7500000000002</v>
      </c>
      <c r="F126" s="41">
        <f>(((('1. Inputs'!F68*(1-0.75))*'1. Inputs'!F69)*'2. Return on Investment Summary'!J5)/'1. Inputs'!F14)</f>
        <v>831.37500000000011</v>
      </c>
      <c r="G126" s="41"/>
      <c r="H126" s="41"/>
      <c r="I126" s="41"/>
      <c r="J126" s="41"/>
      <c r="K126" s="41"/>
      <c r="L126" s="41"/>
      <c r="M126" s="41"/>
    </row>
    <row r="127" spans="2:13" ht="14.15" customHeight="1">
      <c r="B127" s="140" t="s">
        <v>125</v>
      </c>
      <c r="C127" s="140"/>
      <c r="D127" s="41">
        <f>IF('1. Inputs'!$F$35=0,"",'1. Inputs'!$F$35*0.2)</f>
        <v>100</v>
      </c>
      <c r="E127" s="41">
        <f>IF('1. Inputs'!$F$35=0,"",'1. Inputs'!$F$35*0.2)</f>
        <v>100</v>
      </c>
      <c r="F127" s="41">
        <f>IF('1. Inputs'!$F$35=0,"",'1. Inputs'!$F$35*0.2)</f>
        <v>100</v>
      </c>
      <c r="G127" s="41"/>
      <c r="H127" s="41"/>
      <c r="I127" s="41"/>
      <c r="J127" s="41"/>
      <c r="K127" s="41"/>
      <c r="L127" s="41"/>
      <c r="M127" s="41"/>
    </row>
    <row r="128" spans="2:13" ht="14.15" customHeight="1">
      <c r="B128" s="43" t="s">
        <v>126</v>
      </c>
      <c r="C128" s="43"/>
      <c r="D128" s="44">
        <f>IF('1. Inputs'!$F$32=0,"",'1. Inputs'!$F$32*0.2)</f>
        <v>80</v>
      </c>
      <c r="E128" s="44">
        <f>IF('1. Inputs'!$F$32=0,"",'1. Inputs'!$F$32*0.2)</f>
        <v>80</v>
      </c>
      <c r="F128" s="44">
        <f>IF('1. Inputs'!$F$32=0,"",'1. Inputs'!$F$32*0.2)</f>
        <v>80</v>
      </c>
      <c r="G128" s="44"/>
      <c r="H128" s="44"/>
      <c r="I128" s="44" t="str">
        <f>IF('1. Inputs'!$F95=0,"",'1. Inputs'!$F95*0.2)</f>
        <v/>
      </c>
      <c r="J128" s="44" t="str">
        <f>IF('1. Inputs'!$F95=0,"",'1. Inputs'!$F95*0.2)</f>
        <v/>
      </c>
      <c r="K128" s="44" t="str">
        <f>IF('1. Inputs'!$F95=0,"",'1. Inputs'!$F95*0.2)</f>
        <v/>
      </c>
      <c r="L128" s="44"/>
      <c r="M128" s="44"/>
    </row>
    <row r="129" spans="2:13" ht="14.15" customHeight="1">
      <c r="B129" s="261" t="s">
        <v>0</v>
      </c>
      <c r="C129" s="261"/>
      <c r="D129" s="41">
        <f>IF('1. Inputs'!$F31=0,"",'1. Inputs'!$F31)</f>
        <v>400</v>
      </c>
      <c r="E129" s="41">
        <f>IF('1. Inputs'!$F31=0,"",'1. Inputs'!$F31)</f>
        <v>400</v>
      </c>
      <c r="F129" s="41">
        <f>IF('1. Inputs'!$F31=0,"",'1. Inputs'!$F31)</f>
        <v>400</v>
      </c>
      <c r="G129" s="41">
        <f>IF('1. Inputs'!$F31=0,"",'1. Inputs'!$F31)</f>
        <v>400</v>
      </c>
      <c r="H129" s="41">
        <f>IF('1. Inputs'!$F31=0,"",'1. Inputs'!$F31)</f>
        <v>400</v>
      </c>
      <c r="I129" s="41">
        <f>IF('1. Inputs'!$F31=0,"",'1. Inputs'!$F31)</f>
        <v>400</v>
      </c>
      <c r="J129" s="41">
        <f>IF('1. Inputs'!$F31=0,"",'1. Inputs'!$F31)</f>
        <v>400</v>
      </c>
      <c r="K129" s="41">
        <f>IF('1. Inputs'!$F31=0,"",'1. Inputs'!$F31)</f>
        <v>400</v>
      </c>
      <c r="L129" s="41">
        <f>IF('1. Inputs'!$F31=0,"",'1. Inputs'!$F31)</f>
        <v>400</v>
      </c>
      <c r="M129" s="41">
        <f>IF('1. Inputs'!$F31=0,"",'1. Inputs'!$F31)</f>
        <v>400</v>
      </c>
    </row>
    <row r="130" spans="2:13" ht="14.15" customHeight="1">
      <c r="B130" s="261" t="s">
        <v>7</v>
      </c>
      <c r="C130" s="261"/>
      <c r="D130" s="41">
        <f>IF('1. Inputs'!$F32=0,"",'1. Inputs'!$F32)</f>
        <v>400</v>
      </c>
      <c r="E130" s="41">
        <f>IF('1. Inputs'!$F32=0,"",'1. Inputs'!$F32)</f>
        <v>400</v>
      </c>
      <c r="F130" s="41">
        <f>IF('1. Inputs'!$F32=0,"",'1. Inputs'!$F32)</f>
        <v>400</v>
      </c>
      <c r="G130" s="41">
        <f>IF('1. Inputs'!$F32=0,"",'1. Inputs'!$F32)</f>
        <v>400</v>
      </c>
      <c r="H130" s="41">
        <f>IF('1. Inputs'!$F32=0,"",'1. Inputs'!$F32)</f>
        <v>400</v>
      </c>
      <c r="I130" s="41">
        <f>IF('1. Inputs'!$F32=0,"",'1. Inputs'!$F32)</f>
        <v>400</v>
      </c>
      <c r="J130" s="41">
        <f>IF('1. Inputs'!$F32=0,"",'1. Inputs'!$F32)</f>
        <v>400</v>
      </c>
      <c r="K130" s="41">
        <f>IF('1. Inputs'!$F32=0,"",'1. Inputs'!$F32)</f>
        <v>400</v>
      </c>
      <c r="L130" s="41">
        <f>IF('1. Inputs'!$F32=0,"",'1. Inputs'!$F32)</f>
        <v>400</v>
      </c>
      <c r="M130" s="41">
        <f>IF('1. Inputs'!$F32=0,"",'1. Inputs'!$F32)</f>
        <v>400</v>
      </c>
    </row>
    <row r="131" spans="2:13" ht="14.15" customHeight="1">
      <c r="B131" s="261" t="s">
        <v>8</v>
      </c>
      <c r="C131" s="261"/>
      <c r="D131" s="41">
        <f>IF('1. Inputs'!$F33=0,"",'1. Inputs'!$F33)</f>
        <v>400</v>
      </c>
      <c r="E131" s="41">
        <f>IF('1. Inputs'!$F33=0,"",'1. Inputs'!$F33)</f>
        <v>400</v>
      </c>
      <c r="F131" s="41">
        <f>IF('1. Inputs'!$F33=0,"",'1. Inputs'!$F33)</f>
        <v>400</v>
      </c>
      <c r="G131" s="41">
        <f>IF('1. Inputs'!$F33=0,"",'1. Inputs'!$F33)</f>
        <v>400</v>
      </c>
      <c r="H131" s="41">
        <f>IF('1. Inputs'!$F33=0,"",'1. Inputs'!$F33)</f>
        <v>400</v>
      </c>
      <c r="I131" s="41">
        <f>IF('1. Inputs'!$F33=0,"",'1. Inputs'!$F33)</f>
        <v>400</v>
      </c>
      <c r="J131" s="41">
        <f>IF('1. Inputs'!$F33=0,"",'1. Inputs'!$F33)</f>
        <v>400</v>
      </c>
      <c r="K131" s="41">
        <f>IF('1. Inputs'!$F33=0,"",'1. Inputs'!$F33)</f>
        <v>400</v>
      </c>
      <c r="L131" s="41">
        <f>IF('1. Inputs'!$F33=0,"",'1. Inputs'!$F33)</f>
        <v>400</v>
      </c>
      <c r="M131" s="41">
        <f>IF('1. Inputs'!$F33=0,"",'1. Inputs'!$F33)</f>
        <v>400</v>
      </c>
    </row>
    <row r="132" spans="2:13" ht="14.15" customHeight="1">
      <c r="B132" s="261" t="s">
        <v>9</v>
      </c>
      <c r="C132" s="261"/>
      <c r="D132" s="41">
        <f>IF('1. Inputs'!$F34=0,"",'1. Inputs'!$F34)</f>
        <v>100</v>
      </c>
      <c r="E132" s="41">
        <f>IF('1. Inputs'!$F34=0,"",'1. Inputs'!$F34)</f>
        <v>100</v>
      </c>
      <c r="F132" s="41">
        <f>IF('1. Inputs'!$F34=0,"",'1. Inputs'!$F34)</f>
        <v>100</v>
      </c>
      <c r="G132" s="41">
        <f>IF('1. Inputs'!$F34=0,"",'1. Inputs'!$F34)</f>
        <v>100</v>
      </c>
      <c r="H132" s="41">
        <f>IF('1. Inputs'!$F34=0,"",'1. Inputs'!$F34)</f>
        <v>100</v>
      </c>
      <c r="I132" s="41">
        <f>IF('1. Inputs'!$F34=0,"",'1. Inputs'!$F34)</f>
        <v>100</v>
      </c>
      <c r="J132" s="41">
        <f>IF('1. Inputs'!$F34=0,"",'1. Inputs'!$F34)</f>
        <v>100</v>
      </c>
      <c r="K132" s="41">
        <f>IF('1. Inputs'!$F34=0,"",'1. Inputs'!$F34)</f>
        <v>100</v>
      </c>
      <c r="L132" s="41">
        <f>IF('1. Inputs'!$F34=0,"",'1. Inputs'!$F34)</f>
        <v>100</v>
      </c>
      <c r="M132" s="41">
        <f>IF('1. Inputs'!$F34=0,"",'1. Inputs'!$F34)</f>
        <v>100</v>
      </c>
    </row>
    <row r="133" spans="2:13" ht="14.15" customHeight="1">
      <c r="B133" s="261" t="s">
        <v>32</v>
      </c>
      <c r="C133" s="261"/>
      <c r="D133" s="41">
        <f>IF('1. Inputs'!$F35=0,"",'1. Inputs'!$F35)</f>
        <v>500</v>
      </c>
      <c r="E133" s="41">
        <f>IF('1. Inputs'!$F35=0,"",'1. Inputs'!$F35)</f>
        <v>500</v>
      </c>
      <c r="F133" s="41">
        <f>IF('1. Inputs'!$F35=0,"",'1. Inputs'!$F35)</f>
        <v>500</v>
      </c>
      <c r="G133" s="41">
        <f>IF('1. Inputs'!$F35=0,"",'1. Inputs'!$F35)</f>
        <v>500</v>
      </c>
      <c r="H133" s="41">
        <f>IF('1. Inputs'!$F35=0,"",'1. Inputs'!$F35)</f>
        <v>500</v>
      </c>
      <c r="I133" s="41">
        <f>IF('1. Inputs'!$F35=0,"",'1. Inputs'!$F35)</f>
        <v>500</v>
      </c>
      <c r="J133" s="41">
        <f>IF('1. Inputs'!$F35=0,"",'1. Inputs'!$F35)</f>
        <v>500</v>
      </c>
      <c r="K133" s="41">
        <f>IF('1. Inputs'!$F35=0,"",'1. Inputs'!$F35)</f>
        <v>500</v>
      </c>
      <c r="L133" s="41">
        <f>IF('1. Inputs'!$F35=0,"",'1. Inputs'!$F35)</f>
        <v>500</v>
      </c>
      <c r="M133" s="41">
        <f>IF('1. Inputs'!$F35=0,"",'1. Inputs'!$F35)</f>
        <v>500</v>
      </c>
    </row>
    <row r="134" spans="2:13" ht="14.15" customHeight="1">
      <c r="B134" s="261" t="s">
        <v>33</v>
      </c>
      <c r="C134" s="261"/>
      <c r="D134" s="41"/>
      <c r="E134" s="41">
        <f>IF('1. Inputs'!$F36=0,"",'1. Inputs'!$F36)</f>
        <v>250</v>
      </c>
      <c r="F134" s="41">
        <f>IF('1. Inputs'!$F36=0,"",'1. Inputs'!$F36)</f>
        <v>250</v>
      </c>
      <c r="G134" s="41">
        <f>IF('1. Inputs'!$F36=0,"",'1. Inputs'!$F36)</f>
        <v>250</v>
      </c>
      <c r="H134" s="41">
        <f>IF('1. Inputs'!$F36=0,"",'1. Inputs'!$F36)</f>
        <v>250</v>
      </c>
      <c r="I134" s="41">
        <f>IF('1. Inputs'!$F36=0,"",'1. Inputs'!$F36)</f>
        <v>250</v>
      </c>
      <c r="J134" s="41">
        <f>IF('1. Inputs'!$F36=0,"",'1. Inputs'!$F36)</f>
        <v>250</v>
      </c>
      <c r="K134" s="41">
        <f>IF('1. Inputs'!$F36=0,"",'1. Inputs'!$F36)</f>
        <v>250</v>
      </c>
      <c r="L134" s="41">
        <f>IF('1. Inputs'!$F36=0,"",'1. Inputs'!$F36)</f>
        <v>250</v>
      </c>
      <c r="M134" s="41">
        <f>IF('1. Inputs'!$F36=0,"",'1. Inputs'!$F36)</f>
        <v>250</v>
      </c>
    </row>
    <row r="135" spans="2:13" ht="14.15" customHeight="1">
      <c r="B135" s="261" t="s">
        <v>12</v>
      </c>
      <c r="C135" s="261"/>
      <c r="D135" s="41">
        <f>IF('1. Inputs'!$F37=0,"",'1. Inputs'!$F37)</f>
        <v>400</v>
      </c>
      <c r="E135" s="41">
        <f>IF('1. Inputs'!$F37=0,"",'1. Inputs'!$F37)</f>
        <v>400</v>
      </c>
      <c r="F135" s="41">
        <f>IF('1. Inputs'!$F37=0,"",'1. Inputs'!$F37)</f>
        <v>400</v>
      </c>
      <c r="G135" s="41">
        <f>IF('1. Inputs'!$F37=0,"",'1. Inputs'!$F37)</f>
        <v>400</v>
      </c>
      <c r="H135" s="41">
        <f>IF('1. Inputs'!$F37=0,"",'1. Inputs'!$F37)</f>
        <v>400</v>
      </c>
      <c r="I135" s="41">
        <f>IF('1. Inputs'!$F37=0,"",'1. Inputs'!$F37)</f>
        <v>400</v>
      </c>
      <c r="J135" s="41">
        <f>IF('1. Inputs'!$F37=0,"",'1. Inputs'!$F37)</f>
        <v>400</v>
      </c>
      <c r="K135" s="41">
        <f>IF('1. Inputs'!$F37=0,"",'1. Inputs'!$F37)</f>
        <v>400</v>
      </c>
      <c r="L135" s="41">
        <f>IF('1. Inputs'!$F37=0,"",'1. Inputs'!$F37)</f>
        <v>400</v>
      </c>
      <c r="M135" s="41">
        <f>IF('1. Inputs'!$F37=0,"",'1. Inputs'!$F37)</f>
        <v>400</v>
      </c>
    </row>
    <row r="136" spans="2:13" ht="14.15" customHeight="1">
      <c r="B136" s="261" t="s">
        <v>165</v>
      </c>
      <c r="C136" s="261"/>
      <c r="D136" s="41">
        <f>IF('1. Inputs'!$F38=0,"",'1. Inputs'!$F38)</f>
        <v>100</v>
      </c>
      <c r="E136" s="41">
        <f>IF('1. Inputs'!$F38=0,"",'1. Inputs'!$F38)</f>
        <v>100</v>
      </c>
      <c r="F136" s="41">
        <f>IF('1. Inputs'!$F38=0,"",'1. Inputs'!$F38)</f>
        <v>100</v>
      </c>
      <c r="G136" s="41">
        <f>IF('1. Inputs'!$F38=0,"",'1. Inputs'!$F38)</f>
        <v>100</v>
      </c>
      <c r="H136" s="41">
        <f>IF('1. Inputs'!$F38=0,"",'1. Inputs'!$F38)</f>
        <v>100</v>
      </c>
      <c r="I136" s="41">
        <f>IF('1. Inputs'!$F38=0,"",'1. Inputs'!$F38)</f>
        <v>100</v>
      </c>
      <c r="J136" s="41">
        <f>IF('1. Inputs'!$F38=0,"",'1. Inputs'!$F38)</f>
        <v>100</v>
      </c>
      <c r="K136" s="41">
        <f>IF('1. Inputs'!$F38=0,"",'1. Inputs'!$F38)</f>
        <v>100</v>
      </c>
      <c r="L136" s="41">
        <f>IF('1. Inputs'!$F38=0,"",'1. Inputs'!$F38)</f>
        <v>100</v>
      </c>
      <c r="M136" s="41">
        <f>IF('1. Inputs'!$F38=0,"",'1. Inputs'!$F38)</f>
        <v>100</v>
      </c>
    </row>
    <row r="137" spans="2:13" ht="14.15" customHeight="1">
      <c r="B137" s="261" t="s">
        <v>14</v>
      </c>
      <c r="C137" s="261"/>
      <c r="D137" s="41">
        <f>IF('1. Inputs'!$F39=0,"",'1. Inputs'!$F39)</f>
        <v>150</v>
      </c>
      <c r="E137" s="41">
        <f>IF('1. Inputs'!$F39=0,"",'1. Inputs'!$F39)</f>
        <v>150</v>
      </c>
      <c r="F137" s="41">
        <f>IF('1. Inputs'!$F39=0,"",'1. Inputs'!$F39)</f>
        <v>150</v>
      </c>
      <c r="G137" s="41">
        <f>IF('1. Inputs'!$F39=0,"",'1. Inputs'!$F39)</f>
        <v>150</v>
      </c>
      <c r="H137" s="41">
        <f>IF('1. Inputs'!$F39=0,"",'1. Inputs'!$F39)</f>
        <v>150</v>
      </c>
      <c r="I137" s="41">
        <f>IF('1. Inputs'!$F39=0,"",'1. Inputs'!$F39)</f>
        <v>150</v>
      </c>
      <c r="J137" s="41">
        <f>IF('1. Inputs'!$F39=0,"",'1. Inputs'!$F39)</f>
        <v>150</v>
      </c>
      <c r="K137" s="41">
        <f>IF('1. Inputs'!$F39=0,"",'1. Inputs'!$F39)</f>
        <v>150</v>
      </c>
      <c r="L137" s="41">
        <f>IF('1. Inputs'!$F39=0,"",'1. Inputs'!$F39)</f>
        <v>150</v>
      </c>
      <c r="M137" s="41">
        <f>IF('1. Inputs'!$F39=0,"",'1. Inputs'!$F39)</f>
        <v>150</v>
      </c>
    </row>
    <row r="138" spans="2:13" ht="14.15" customHeight="1">
      <c r="B138" s="261" t="s">
        <v>13</v>
      </c>
      <c r="C138" s="261"/>
      <c r="D138" s="41">
        <f>IF('1. Inputs'!$F40=0,"",'1. Inputs'!$F40)</f>
        <v>500</v>
      </c>
      <c r="E138" s="41">
        <f>IF('1. Inputs'!$F40=0,"",'1. Inputs'!$F40)</f>
        <v>500</v>
      </c>
      <c r="F138" s="41">
        <f>IF('1. Inputs'!$F40=0,"",'1. Inputs'!$F40)</f>
        <v>500</v>
      </c>
      <c r="G138" s="41">
        <f>IF('1. Inputs'!$F40=0,"",'1. Inputs'!$F40)</f>
        <v>500</v>
      </c>
      <c r="H138" s="41">
        <f>IF('1. Inputs'!$F40=0,"",'1. Inputs'!$F40)</f>
        <v>500</v>
      </c>
      <c r="I138" s="41">
        <f>IF('1. Inputs'!$F40=0,"",'1. Inputs'!$F40)</f>
        <v>500</v>
      </c>
      <c r="J138" s="41">
        <f>IF('1. Inputs'!$F40=0,"",'1. Inputs'!$F40)</f>
        <v>500</v>
      </c>
      <c r="K138" s="41">
        <f>IF('1. Inputs'!$F40=0,"",'1. Inputs'!$F40)</f>
        <v>500</v>
      </c>
      <c r="L138" s="41">
        <f>IF('1. Inputs'!$F40=0,"",'1. Inputs'!$F40)</f>
        <v>500</v>
      </c>
      <c r="M138" s="41">
        <f>IF('1. Inputs'!$F40=0,"",'1. Inputs'!$F40)</f>
        <v>500</v>
      </c>
    </row>
    <row r="139" spans="2:13" ht="14.15" customHeight="1">
      <c r="B139" s="261" t="s">
        <v>19</v>
      </c>
      <c r="C139" s="261"/>
      <c r="D139" s="41"/>
      <c r="E139" s="41">
        <f>IF('1. Inputs'!$F41=0,"",'1. Inputs'!$F41)</f>
        <v>250</v>
      </c>
      <c r="F139" s="41">
        <f>IF('1. Inputs'!$F41=0,"",'1. Inputs'!$F41)</f>
        <v>250</v>
      </c>
      <c r="G139" s="41">
        <f>IF('1. Inputs'!$F41=0,"",'1. Inputs'!$F41)</f>
        <v>250</v>
      </c>
      <c r="H139" s="41">
        <f>IF('1. Inputs'!$F41=0,"",'1. Inputs'!$F41)</f>
        <v>250</v>
      </c>
      <c r="I139" s="41">
        <f>IF('1. Inputs'!$F41=0,"",'1. Inputs'!$F41)</f>
        <v>250</v>
      </c>
      <c r="J139" s="41">
        <f>IF('1. Inputs'!$F41=0,"",'1. Inputs'!$F41)</f>
        <v>250</v>
      </c>
      <c r="K139" s="41">
        <f>IF('1. Inputs'!$F41=0,"",'1. Inputs'!$F41)</f>
        <v>250</v>
      </c>
      <c r="L139" s="41">
        <f>IF('1. Inputs'!$F41=0,"",'1. Inputs'!$F41)</f>
        <v>250</v>
      </c>
      <c r="M139" s="41">
        <f>IF('1. Inputs'!$F41=0,"",'1. Inputs'!$F41)</f>
        <v>250</v>
      </c>
    </row>
    <row r="140" spans="2:13" ht="14.15" customHeight="1">
      <c r="B140" s="261" t="s">
        <v>166</v>
      </c>
      <c r="C140" s="261"/>
      <c r="D140" s="41">
        <f>IF('1. Inputs'!$F42=0,"",'1. Inputs'!$F42)</f>
        <v>100</v>
      </c>
      <c r="E140" s="41">
        <f>IF('1. Inputs'!$F42=0,"",'1. Inputs'!$F42)</f>
        <v>100</v>
      </c>
      <c r="F140" s="41">
        <f>IF('1. Inputs'!$F42=0,"",'1. Inputs'!$F42)</f>
        <v>100</v>
      </c>
      <c r="G140" s="41">
        <f>IF('1. Inputs'!$F42=0,"",'1. Inputs'!$F42)</f>
        <v>100</v>
      </c>
      <c r="H140" s="41">
        <f>IF('1. Inputs'!$F42=0,"",'1. Inputs'!$F42)</f>
        <v>100</v>
      </c>
      <c r="I140" s="41">
        <f>IF('1. Inputs'!$F42=0,"",'1. Inputs'!$F42)</f>
        <v>100</v>
      </c>
      <c r="J140" s="41">
        <f>IF('1. Inputs'!$F42=0,"",'1. Inputs'!$F42)</f>
        <v>100</v>
      </c>
      <c r="K140" s="41">
        <f>IF('1. Inputs'!$F42=0,"",'1. Inputs'!$F42)</f>
        <v>100</v>
      </c>
      <c r="L140" s="41">
        <f>IF('1. Inputs'!$F42=0,"",'1. Inputs'!$F42)</f>
        <v>100</v>
      </c>
      <c r="M140" s="41">
        <f>IF('1. Inputs'!$F42=0,"",'1. Inputs'!$F42)</f>
        <v>100</v>
      </c>
    </row>
    <row r="141" spans="2:13" ht="14.15" customHeight="1">
      <c r="B141" s="261" t="s">
        <v>20</v>
      </c>
      <c r="C141" s="261"/>
      <c r="D141" s="41"/>
      <c r="E141" s="41"/>
      <c r="F141" s="41">
        <f>IF('1. Inputs'!$F43=0,"",'1. Inputs'!$F43)</f>
        <v>100</v>
      </c>
      <c r="G141" s="41">
        <f>IF('1. Inputs'!$F43=0,"",'1. Inputs'!$F43)</f>
        <v>100</v>
      </c>
      <c r="H141" s="41">
        <f>IF('1. Inputs'!$F43=0,"",'1. Inputs'!$F43)</f>
        <v>100</v>
      </c>
      <c r="I141" s="41">
        <f>IF('1. Inputs'!$F43=0,"",'1. Inputs'!$F43)</f>
        <v>100</v>
      </c>
      <c r="J141" s="41">
        <f>IF('1. Inputs'!$F43=0,"",'1. Inputs'!$F43)</f>
        <v>100</v>
      </c>
      <c r="K141" s="41">
        <f>IF('1. Inputs'!$F43=0,"",'1. Inputs'!$F43)</f>
        <v>100</v>
      </c>
      <c r="L141" s="41">
        <f>IF('1. Inputs'!$F43=0,"",'1. Inputs'!$F43)</f>
        <v>100</v>
      </c>
      <c r="M141" s="41">
        <f>IF('1. Inputs'!$F43=0,"",'1. Inputs'!$F43)</f>
        <v>100</v>
      </c>
    </row>
    <row r="142" spans="2:13" ht="14.15" customHeight="1">
      <c r="B142" s="261" t="s">
        <v>21</v>
      </c>
      <c r="C142" s="261"/>
      <c r="D142" s="41"/>
      <c r="E142" s="41">
        <f>IF('1. Inputs'!$F44=0,"",'1. Inputs'!$F44)</f>
        <v>20</v>
      </c>
      <c r="F142" s="41">
        <f>IF('1. Inputs'!$F44=0,"",'1. Inputs'!$F44)</f>
        <v>20</v>
      </c>
      <c r="G142" s="41">
        <f>IF('1. Inputs'!$F44=0,"",'1. Inputs'!$F44)</f>
        <v>20</v>
      </c>
      <c r="H142" s="41">
        <f>IF('1. Inputs'!$F44=0,"",'1. Inputs'!$F44)</f>
        <v>20</v>
      </c>
      <c r="I142" s="41">
        <f>IF('1. Inputs'!$F44=0,"",'1. Inputs'!$F44)</f>
        <v>20</v>
      </c>
      <c r="J142" s="41">
        <f>IF('1. Inputs'!$F44=0,"",'1. Inputs'!$F44)</f>
        <v>20</v>
      </c>
      <c r="K142" s="41">
        <f>IF('1. Inputs'!$F44=0,"",'1. Inputs'!$F44)</f>
        <v>20</v>
      </c>
      <c r="L142" s="41">
        <f>IF('1. Inputs'!$F44=0,"",'1. Inputs'!$F44)</f>
        <v>20</v>
      </c>
      <c r="M142" s="41">
        <f>IF('1. Inputs'!$F44=0,"",'1. Inputs'!$F44)</f>
        <v>20</v>
      </c>
    </row>
    <row r="143" spans="2:13" ht="14.15" customHeight="1">
      <c r="B143" s="261" t="s">
        <v>22</v>
      </c>
      <c r="C143" s="261"/>
      <c r="D143" s="41"/>
      <c r="E143" s="41">
        <f>IF('1. Inputs'!$F45=0,"",'1. Inputs'!$F45)</f>
        <v>50</v>
      </c>
      <c r="F143" s="41">
        <f>IF('1. Inputs'!$F45=0,"",'1. Inputs'!$F45)</f>
        <v>50</v>
      </c>
      <c r="G143" s="41">
        <f>IF('1. Inputs'!$F45=0,"",'1. Inputs'!$F45)</f>
        <v>50</v>
      </c>
      <c r="H143" s="41">
        <f>IF('1. Inputs'!$F45=0,"",'1. Inputs'!$F45)</f>
        <v>50</v>
      </c>
      <c r="I143" s="41">
        <f>IF('1. Inputs'!$F45=0,"",'1. Inputs'!$F45)</f>
        <v>50</v>
      </c>
      <c r="J143" s="41">
        <f>IF('1. Inputs'!$F45=0,"",'1. Inputs'!$F45)</f>
        <v>50</v>
      </c>
      <c r="K143" s="41">
        <f>IF('1. Inputs'!$F45=0,"",'1. Inputs'!$F45)</f>
        <v>50</v>
      </c>
      <c r="L143" s="41">
        <f>IF('1. Inputs'!$F45=0,"",'1. Inputs'!$F45)</f>
        <v>50</v>
      </c>
      <c r="M143" s="41">
        <f>IF('1. Inputs'!$F45=0,"",'1. Inputs'!$F45)</f>
        <v>50</v>
      </c>
    </row>
    <row r="144" spans="2:13" ht="14.15" customHeight="1">
      <c r="B144" s="261" t="s">
        <v>167</v>
      </c>
      <c r="C144" s="261"/>
      <c r="D144" s="41" t="str">
        <f>IF('1. Inputs'!$F46=0,"",'1. Inputs'!$F46)</f>
        <v/>
      </c>
      <c r="E144" s="41" t="str">
        <f>IF('1. Inputs'!$F46=0,"",'1. Inputs'!$F46)</f>
        <v/>
      </c>
      <c r="F144" s="41" t="str">
        <f>IF('1. Inputs'!$F46=0,"",'1. Inputs'!$F46)</f>
        <v/>
      </c>
      <c r="G144" s="41" t="str">
        <f>IF('1. Inputs'!$F46=0,"",'1. Inputs'!$F46)</f>
        <v/>
      </c>
      <c r="H144" s="41" t="str">
        <f>IF('1. Inputs'!$F46=0,"",'1. Inputs'!$F46)</f>
        <v/>
      </c>
      <c r="I144" s="41" t="str">
        <f>IF('1. Inputs'!$F46=0,"",'1. Inputs'!$F46)</f>
        <v/>
      </c>
      <c r="J144" s="41" t="str">
        <f>IF('1. Inputs'!$F46=0,"",'1. Inputs'!$F46)</f>
        <v/>
      </c>
      <c r="K144" s="41" t="str">
        <f>IF('1. Inputs'!$F46=0,"",'1. Inputs'!$F46)</f>
        <v/>
      </c>
      <c r="L144" s="41" t="str">
        <f>IF('1. Inputs'!$F46=0,"",'1. Inputs'!$F46)</f>
        <v/>
      </c>
      <c r="M144" s="41" t="str">
        <f>IF('1. Inputs'!$F46=0,"",'1. Inputs'!$F46)</f>
        <v/>
      </c>
    </row>
    <row r="145" spans="2:13" ht="14.15" customHeight="1">
      <c r="B145" s="261" t="s">
        <v>168</v>
      </c>
      <c r="C145" s="261"/>
      <c r="D145" s="41" t="str">
        <f>IF('1. Inputs'!$F47=0,"",'1. Inputs'!$F47)</f>
        <v/>
      </c>
      <c r="E145" s="41" t="str">
        <f>IF('1. Inputs'!$F47=0,"",'1. Inputs'!$F47)</f>
        <v/>
      </c>
      <c r="F145" s="41" t="str">
        <f>IF('1. Inputs'!$F47=0,"",'1. Inputs'!$F47)</f>
        <v/>
      </c>
      <c r="G145" s="41" t="str">
        <f>IF('1. Inputs'!$F47=0,"",'1. Inputs'!$F47)</f>
        <v/>
      </c>
      <c r="H145" s="41" t="str">
        <f>IF('1. Inputs'!$F47=0,"",'1. Inputs'!$F47)</f>
        <v/>
      </c>
      <c r="I145" s="41" t="str">
        <f>IF('1. Inputs'!$F47=0,"",'1. Inputs'!$F47)</f>
        <v/>
      </c>
      <c r="J145" s="41" t="str">
        <f>IF('1. Inputs'!$F47=0,"",'1. Inputs'!$F47)</f>
        <v/>
      </c>
      <c r="K145" s="41" t="str">
        <f>IF('1. Inputs'!$F47=0,"",'1. Inputs'!$F47)</f>
        <v/>
      </c>
      <c r="L145" s="41" t="str">
        <f>IF('1. Inputs'!$F47=0,"",'1. Inputs'!$F47)</f>
        <v/>
      </c>
      <c r="M145" s="41" t="str">
        <f>IF('1. Inputs'!$F47=0,"",'1. Inputs'!$F47)</f>
        <v/>
      </c>
    </row>
    <row r="146" spans="2:13" ht="14.15" customHeight="1">
      <c r="B146" s="262" t="s">
        <v>119</v>
      </c>
      <c r="C146" s="262"/>
      <c r="D146" s="42">
        <f>SUM(D117:D145)</f>
        <v>15800.33</v>
      </c>
      <c r="E146" s="42">
        <f t="shared" ref="E146:M146" si="48">SUM(E117:E145)</f>
        <v>5462.75</v>
      </c>
      <c r="F146" s="42">
        <f t="shared" si="48"/>
        <v>4731.375</v>
      </c>
      <c r="G146" s="42">
        <f t="shared" si="48"/>
        <v>3720</v>
      </c>
      <c r="H146" s="42">
        <f t="shared" si="48"/>
        <v>3720</v>
      </c>
      <c r="I146" s="42">
        <f t="shared" si="48"/>
        <v>3720</v>
      </c>
      <c r="J146" s="42">
        <f t="shared" si="48"/>
        <v>3720</v>
      </c>
      <c r="K146" s="42">
        <f t="shared" si="48"/>
        <v>3720</v>
      </c>
      <c r="L146" s="42">
        <f t="shared" si="48"/>
        <v>3720</v>
      </c>
      <c r="M146" s="42">
        <f t="shared" si="48"/>
        <v>3720</v>
      </c>
    </row>
    <row r="147" spans="2:13" ht="14.15" customHeight="1">
      <c r="B147" s="263" t="s">
        <v>121</v>
      </c>
      <c r="C147" s="263"/>
      <c r="D147" s="42">
        <f>SUM(D115, D146*-1)</f>
        <v>-15800.33</v>
      </c>
      <c r="E147" s="42">
        <f t="shared" ref="E147:M147" si="49">SUM(E115, E146*-1)</f>
        <v>-308.22499999999945</v>
      </c>
      <c r="F147" s="42">
        <f t="shared" si="49"/>
        <v>8570.6250000000018</v>
      </c>
      <c r="G147" s="42">
        <f t="shared" si="49"/>
        <v>9582.0000000000018</v>
      </c>
      <c r="H147" s="42">
        <f t="shared" si="49"/>
        <v>9582.0000000000018</v>
      </c>
      <c r="I147" s="42">
        <f t="shared" si="49"/>
        <v>9582.0000000000018</v>
      </c>
      <c r="J147" s="42">
        <f t="shared" si="49"/>
        <v>9582.0000000000018</v>
      </c>
      <c r="K147" s="42">
        <f t="shared" si="49"/>
        <v>9582.0000000000018</v>
      </c>
      <c r="L147" s="42">
        <f t="shared" si="49"/>
        <v>9582.0000000000018</v>
      </c>
      <c r="M147" s="42">
        <f t="shared" si="49"/>
        <v>9582.0000000000018</v>
      </c>
    </row>
    <row r="148" spans="2:13" ht="14.15" customHeight="1">
      <c r="B148" s="267" t="s">
        <v>122</v>
      </c>
      <c r="C148" s="267"/>
      <c r="D148" s="45">
        <f>D147</f>
        <v>-15800.33</v>
      </c>
      <c r="E148" s="45">
        <f>E147+D148</f>
        <v>-16108.555</v>
      </c>
      <c r="F148" s="45">
        <f t="shared" ref="F148" si="50">F147+E148</f>
        <v>-7537.9299999999985</v>
      </c>
      <c r="G148" s="45">
        <f t="shared" ref="G148" si="51">G147+F148</f>
        <v>2044.0700000000033</v>
      </c>
      <c r="H148" s="45">
        <f t="shared" ref="H148" si="52">H147+G148</f>
        <v>11626.070000000005</v>
      </c>
      <c r="I148" s="45">
        <f t="shared" ref="I148" si="53">I147+H148</f>
        <v>21208.070000000007</v>
      </c>
      <c r="J148" s="45">
        <f t="shared" ref="J148" si="54">J147+I148</f>
        <v>30790.070000000007</v>
      </c>
      <c r="K148" s="45">
        <f t="shared" ref="K148" si="55">K147+J148</f>
        <v>40372.070000000007</v>
      </c>
      <c r="L148" s="45">
        <f t="shared" ref="L148" si="56">L147+K148</f>
        <v>49954.070000000007</v>
      </c>
      <c r="M148" s="45">
        <f>M147+L148</f>
        <v>59536.070000000007</v>
      </c>
    </row>
    <row r="151" spans="2:13" ht="18.5">
      <c r="B151" s="19" t="s">
        <v>28</v>
      </c>
    </row>
    <row r="152" spans="2:13" ht="7" customHeight="1"/>
    <row r="153" spans="2:13" ht="15.5">
      <c r="B153" s="20" t="s">
        <v>46</v>
      </c>
      <c r="C153" s="33"/>
      <c r="D153" s="20" t="str">
        <f>"VARIETY:  "&amp;'1. Inputs'!E82</f>
        <v>VARIETY:  99-25</v>
      </c>
      <c r="F153" s="32"/>
    </row>
    <row r="154" spans="2:13">
      <c r="B154" s="260"/>
      <c r="C154" s="260"/>
      <c r="D154" s="137" t="s">
        <v>66</v>
      </c>
      <c r="E154" s="137" t="s">
        <v>57</v>
      </c>
      <c r="F154" s="137" t="s">
        <v>58</v>
      </c>
      <c r="G154" s="137" t="s">
        <v>59</v>
      </c>
      <c r="H154" s="137" t="s">
        <v>60</v>
      </c>
      <c r="I154" s="137" t="s">
        <v>61</v>
      </c>
      <c r="J154" s="137" t="s">
        <v>62</v>
      </c>
      <c r="K154" s="137" t="s">
        <v>63</v>
      </c>
      <c r="L154" s="137" t="s">
        <v>64</v>
      </c>
      <c r="M154" s="137" t="s">
        <v>65</v>
      </c>
    </row>
    <row r="155" spans="2:13">
      <c r="B155" s="264" t="s">
        <v>116</v>
      </c>
      <c r="C155" s="264"/>
      <c r="D155" s="28"/>
      <c r="E155" s="28"/>
      <c r="F155" s="28"/>
      <c r="G155" s="28"/>
      <c r="H155" s="28"/>
      <c r="I155" s="28"/>
      <c r="J155" s="28"/>
      <c r="K155" s="28"/>
      <c r="L155" s="28"/>
      <c r="M155" s="28"/>
    </row>
    <row r="156" spans="2:13">
      <c r="B156" s="265" t="s">
        <v>117</v>
      </c>
      <c r="C156" s="265"/>
      <c r="D156" s="40">
        <f>VLOOKUP('1. Inputs'!$E$82,'Variety Data'!$B$6:$Q$21,2,FALSE)</f>
        <v>0</v>
      </c>
      <c r="E156" s="40">
        <f>VLOOKUP('1. Inputs'!$E$82,'Variety Data'!$B$6:$Q$21,3,FALSE)</f>
        <v>300</v>
      </c>
      <c r="F156" s="40">
        <f>VLOOKUP('1. Inputs'!$E$82,'Variety Data'!$B$6:$Q$21,4,FALSE)</f>
        <v>350</v>
      </c>
      <c r="G156" s="40">
        <f>VLOOKUP('1. Inputs'!$E$82,'Variety Data'!$B$6:$Q$21,5,FALSE)</f>
        <v>425</v>
      </c>
      <c r="H156" s="40">
        <f>VLOOKUP('1. Inputs'!$E$82,'Variety Data'!$B$6:$Q$21,6,FALSE)</f>
        <v>425</v>
      </c>
      <c r="I156" s="40">
        <f>VLOOKUP('1. Inputs'!$E$82,'Variety Data'!$B$6:$Q$21,7,FALSE)</f>
        <v>425</v>
      </c>
      <c r="J156" s="40">
        <f>VLOOKUP('1. Inputs'!$E$82,'Variety Data'!$B$6:$Q$21,8,FALSE)</f>
        <v>425</v>
      </c>
      <c r="K156" s="40">
        <f>VLOOKUP('1. Inputs'!$E$82,'Variety Data'!$B$6:$Q$21,9,FALSE)</f>
        <v>425</v>
      </c>
      <c r="L156" s="40">
        <f>VLOOKUP('1. Inputs'!$E$82,'Variety Data'!$B$6:$Q$21,10,FALSE)</f>
        <v>425</v>
      </c>
      <c r="M156" s="40">
        <f>VLOOKUP('1. Inputs'!$E$82,'Variety Data'!$B$6:$Q$21,11,FALSE)</f>
        <v>425</v>
      </c>
    </row>
    <row r="157" spans="2:13">
      <c r="B157" s="139" t="str">
        <f>"Revenue @ $"&amp;ROUND('1. Inputs'!$H$23,2)&amp;" /bbl"</f>
        <v>Revenue @ $33.26 /bbl</v>
      </c>
      <c r="C157" s="139"/>
      <c r="D157" s="41" t="str">
        <f>IF('1. Inputs'!$H$23*D156=0,"",'1. Inputs'!$H$23*D156)</f>
        <v/>
      </c>
      <c r="E157" s="41">
        <f>IF('1. Inputs'!$H$23*E156=0,"",'1. Inputs'!$H$23*E156)</f>
        <v>9976.5</v>
      </c>
      <c r="F157" s="41">
        <f>IF('1. Inputs'!$H$23*F156=0,"",'1. Inputs'!$H$23*F156)</f>
        <v>11639.25</v>
      </c>
      <c r="G157" s="41">
        <f>IF('1. Inputs'!$H$23*G156=0,"",'1. Inputs'!$H$23*G156)</f>
        <v>14133.375000000002</v>
      </c>
      <c r="H157" s="41">
        <f>IF('1. Inputs'!$H$23*H156=0,"",'1. Inputs'!$H$23*H156)</f>
        <v>14133.375000000002</v>
      </c>
      <c r="I157" s="41">
        <f>IF('1. Inputs'!$H$23*I156=0,"",'1. Inputs'!$H$23*I156)</f>
        <v>14133.375000000002</v>
      </c>
      <c r="J157" s="41">
        <f>IF('1. Inputs'!$H$23*J156=0,"",'1. Inputs'!$H$23*J156)</f>
        <v>14133.375000000002</v>
      </c>
      <c r="K157" s="41">
        <f>IF('1. Inputs'!$H$23*K156=0,"",'1. Inputs'!$H$23*K156)</f>
        <v>14133.375000000002</v>
      </c>
      <c r="L157" s="41">
        <f>IF('1. Inputs'!$H$23*L156=0,"",'1. Inputs'!$H$23*L156)</f>
        <v>14133.375000000002</v>
      </c>
      <c r="M157" s="41">
        <f>IF('1. Inputs'!$H$23*M156=0,"",'1. Inputs'!$H$23*M156)</f>
        <v>14133.375000000002</v>
      </c>
    </row>
    <row r="158" spans="2:13">
      <c r="B158" s="262" t="s">
        <v>120</v>
      </c>
      <c r="C158" s="262"/>
      <c r="D158" s="42" t="str">
        <f>D157</f>
        <v/>
      </c>
      <c r="E158" s="42">
        <f t="shared" ref="E158" si="57">E157</f>
        <v>9976.5</v>
      </c>
      <c r="F158" s="42">
        <f t="shared" ref="F158" si="58">F157</f>
        <v>11639.25</v>
      </c>
      <c r="G158" s="42">
        <f t="shared" ref="G158" si="59">G157</f>
        <v>14133.375000000002</v>
      </c>
      <c r="H158" s="42">
        <f t="shared" ref="H158" si="60">H157</f>
        <v>14133.375000000002</v>
      </c>
      <c r="I158" s="42">
        <f t="shared" ref="I158" si="61">I157</f>
        <v>14133.375000000002</v>
      </c>
      <c r="J158" s="42">
        <f t="shared" ref="J158" si="62">J157</f>
        <v>14133.375000000002</v>
      </c>
      <c r="K158" s="42">
        <f t="shared" ref="K158" si="63">K157</f>
        <v>14133.375000000002</v>
      </c>
      <c r="L158" s="42">
        <f t="shared" ref="L158" si="64">L157</f>
        <v>14133.375000000002</v>
      </c>
      <c r="M158" s="42">
        <f t="shared" ref="M158" si="65">M157</f>
        <v>14133.375000000002</v>
      </c>
    </row>
    <row r="159" spans="2:13">
      <c r="B159" s="266" t="s">
        <v>118</v>
      </c>
      <c r="C159" s="266"/>
      <c r="D159" s="41"/>
      <c r="E159" s="41"/>
      <c r="F159" s="41"/>
      <c r="G159" s="41"/>
      <c r="H159" s="41"/>
      <c r="I159" s="41"/>
      <c r="J159" s="41"/>
      <c r="K159" s="41"/>
      <c r="L159" s="41"/>
      <c r="M159" s="41"/>
    </row>
    <row r="160" spans="2:13">
      <c r="B160" s="140" t="s">
        <v>18</v>
      </c>
      <c r="C160" s="140"/>
      <c r="D160" s="41">
        <f>IF('1. Inputs'!$F85=0,"",'1. Inputs'!$F85)</f>
        <v>2000</v>
      </c>
      <c r="E160" s="41"/>
      <c r="F160" s="41"/>
      <c r="G160" s="41"/>
      <c r="H160" s="41"/>
      <c r="I160" s="41"/>
      <c r="J160" s="41"/>
      <c r="K160" s="41"/>
      <c r="L160" s="41"/>
      <c r="M160" s="41"/>
    </row>
    <row r="161" spans="2:13">
      <c r="B161" s="140" t="s">
        <v>15</v>
      </c>
      <c r="C161" s="140"/>
      <c r="D161" s="41">
        <f>IF('1. Inputs'!$F86=0,"",'1. Inputs'!$F86)</f>
        <v>50</v>
      </c>
      <c r="E161" s="41"/>
      <c r="F161" s="41"/>
      <c r="G161" s="41"/>
      <c r="H161" s="41"/>
      <c r="I161" s="41"/>
      <c r="J161" s="41"/>
      <c r="K161" s="41"/>
      <c r="L161" s="41"/>
      <c r="M161" s="41"/>
    </row>
    <row r="162" spans="2:13">
      <c r="B162" s="140" t="s">
        <v>16</v>
      </c>
      <c r="C162" s="140"/>
      <c r="D162" s="41">
        <f>IF('1. Inputs'!$F87=0,"",'1. Inputs'!$F87)</f>
        <v>4000</v>
      </c>
      <c r="E162" s="41"/>
      <c r="F162" s="41"/>
      <c r="G162" s="41"/>
      <c r="H162" s="41"/>
      <c r="I162" s="41"/>
      <c r="J162" s="41"/>
      <c r="K162" s="41"/>
      <c r="L162" s="41"/>
      <c r="M162" s="41"/>
    </row>
    <row r="163" spans="2:13">
      <c r="B163" s="140" t="s">
        <v>123</v>
      </c>
      <c r="C163" s="140"/>
      <c r="D163" s="41">
        <f>IF('1. Inputs'!$F88=0,"",'1. Inputs'!$F88)</f>
        <v>14632.2</v>
      </c>
      <c r="E163" s="41"/>
      <c r="F163" s="41"/>
      <c r="G163" s="41"/>
      <c r="H163" s="41"/>
      <c r="I163" s="41"/>
      <c r="J163" s="41"/>
      <c r="K163" s="41"/>
      <c r="L163" s="41"/>
      <c r="M163" s="41"/>
    </row>
    <row r="164" spans="2:13">
      <c r="B164" s="140" t="s">
        <v>83</v>
      </c>
      <c r="C164" s="140"/>
      <c r="D164" s="41">
        <f>IF('1. Inputs'!$F89=0,"",'1. Inputs'!$F89)</f>
        <v>1000</v>
      </c>
      <c r="E164" s="41"/>
      <c r="F164" s="41"/>
      <c r="G164" s="41"/>
      <c r="H164" s="41"/>
      <c r="I164" s="41"/>
      <c r="J164" s="41"/>
      <c r="K164" s="41"/>
      <c r="L164" s="41"/>
      <c r="M164" s="41"/>
    </row>
    <row r="165" spans="2:13">
      <c r="B165" s="140" t="s">
        <v>17</v>
      </c>
      <c r="C165" s="140"/>
      <c r="D165" s="41">
        <f>IF('1. Inputs'!$F90=0,"",'1. Inputs'!$F90)</f>
        <v>500</v>
      </c>
      <c r="E165" s="41"/>
      <c r="F165" s="41"/>
      <c r="G165" s="41"/>
      <c r="H165" s="41"/>
      <c r="I165" s="41"/>
      <c r="J165" s="41"/>
      <c r="K165" s="41"/>
      <c r="L165" s="41"/>
      <c r="M165" s="41"/>
    </row>
    <row r="166" spans="2:13">
      <c r="B166" s="139" t="s">
        <v>213</v>
      </c>
      <c r="C166" s="140"/>
      <c r="D166" s="41">
        <f>IF('1. Inputs'!$F91=0,"",'1. Inputs'!$F91)</f>
        <v>2394.36</v>
      </c>
      <c r="E166" s="41"/>
      <c r="F166" s="41"/>
      <c r="G166" s="41"/>
      <c r="H166" s="41"/>
      <c r="I166" s="41"/>
      <c r="J166" s="41"/>
      <c r="K166" s="41"/>
      <c r="L166" s="41"/>
      <c r="M166" s="41"/>
    </row>
    <row r="167" spans="2:13">
      <c r="B167" s="163" t="s">
        <v>212</v>
      </c>
      <c r="C167" s="162"/>
      <c r="D167" s="41"/>
      <c r="E167" s="41" t="str">
        <f>IF('1. Inputs'!$F92=0,"",'1. Inputs'!$F92)</f>
        <v/>
      </c>
      <c r="F167" s="41" t="str">
        <f>IF('1. Inputs'!$F92=0,"",'1. Inputs'!$F92)</f>
        <v/>
      </c>
      <c r="G167" s="41" t="str">
        <f>IF('1. Inputs'!$F92=0,"",'1. Inputs'!$F92)</f>
        <v/>
      </c>
      <c r="H167" s="41" t="str">
        <f>IF('1. Inputs'!$F92=0,"",'1. Inputs'!$F92)</f>
        <v/>
      </c>
      <c r="I167" s="41" t="str">
        <f>IF('1. Inputs'!$F92=0,"",'1. Inputs'!$F92)</f>
        <v/>
      </c>
      <c r="J167" s="41" t="str">
        <f>IF('1. Inputs'!$F92=0,"",'1. Inputs'!$F92)</f>
        <v/>
      </c>
      <c r="K167" s="41" t="str">
        <f>IF('1. Inputs'!$F92=0,"",'1. Inputs'!$F92)</f>
        <v/>
      </c>
      <c r="L167" s="41" t="str">
        <f>IF('1. Inputs'!$F92=0,"",'1. Inputs'!$F92)</f>
        <v/>
      </c>
      <c r="M167" s="41" t="str">
        <f>IF('1. Inputs'!$F92=0,"",'1. Inputs'!$F92)</f>
        <v/>
      </c>
    </row>
    <row r="168" spans="2:13">
      <c r="B168" s="162" t="s">
        <v>216</v>
      </c>
      <c r="C168" s="140"/>
      <c r="D168" s="41" t="str">
        <f>IF('1. Inputs'!$F93=0,"",'1. Inputs'!$F93)</f>
        <v/>
      </c>
      <c r="E168" s="41"/>
      <c r="F168" s="41"/>
      <c r="G168" s="41"/>
      <c r="H168" s="41"/>
      <c r="I168" s="41"/>
      <c r="J168" s="41"/>
      <c r="K168" s="41"/>
      <c r="L168" s="41"/>
      <c r="M168" s="41"/>
    </row>
    <row r="169" spans="2:13">
      <c r="B169" s="140" t="s">
        <v>175</v>
      </c>
      <c r="C169" s="140"/>
      <c r="D169" s="41" t="str">
        <f>IF('1. Inputs'!$F94=0,"",'1. Inputs'!$F94)</f>
        <v/>
      </c>
      <c r="E169" s="41"/>
      <c r="F169" s="41"/>
      <c r="G169" s="41"/>
      <c r="H169" s="41"/>
      <c r="I169" s="41"/>
      <c r="J169" s="41"/>
      <c r="K169" s="41"/>
      <c r="L169" s="41"/>
      <c r="M169" s="41"/>
    </row>
    <row r="170" spans="2:13">
      <c r="B170" s="140" t="s">
        <v>125</v>
      </c>
      <c r="C170" s="140"/>
      <c r="D170" s="41">
        <f>IF('1. Inputs'!$F$35=0,"",'1. Inputs'!$F$35*0.2)</f>
        <v>100</v>
      </c>
      <c r="E170" s="41">
        <f>IF('1. Inputs'!$F$35=0,"",'1. Inputs'!$F$35*0.2)</f>
        <v>100</v>
      </c>
      <c r="F170" s="41">
        <f>IF('1. Inputs'!$F$35=0,"",'1. Inputs'!$F$35*0.2)</f>
        <v>100</v>
      </c>
      <c r="G170" s="41"/>
      <c r="H170" s="41"/>
      <c r="I170" s="41"/>
      <c r="J170" s="41"/>
      <c r="K170" s="41"/>
      <c r="L170" s="41"/>
      <c r="M170" s="41"/>
    </row>
    <row r="171" spans="2:13">
      <c r="B171" s="43" t="s">
        <v>126</v>
      </c>
      <c r="C171" s="43"/>
      <c r="D171" s="44">
        <f>IF('1. Inputs'!$F$32=0,"",'1. Inputs'!$F$32*0.2)</f>
        <v>80</v>
      </c>
      <c r="E171" s="44">
        <f>IF('1. Inputs'!$F$32=0,"",'1. Inputs'!$F$32*0.2)</f>
        <v>80</v>
      </c>
      <c r="F171" s="44">
        <f>IF('1. Inputs'!$F$32=0,"",'1. Inputs'!$F$32*0.2)</f>
        <v>80</v>
      </c>
      <c r="G171" s="44"/>
      <c r="H171" s="44"/>
      <c r="I171" s="44"/>
      <c r="J171" s="44"/>
      <c r="K171" s="44"/>
      <c r="L171" s="44"/>
      <c r="M171" s="44"/>
    </row>
    <row r="172" spans="2:13">
      <c r="B172" s="261" t="s">
        <v>0</v>
      </c>
      <c r="C172" s="261"/>
      <c r="D172" s="41">
        <f>IF('1. Inputs'!$F31=0,"",'1. Inputs'!$F31)</f>
        <v>400</v>
      </c>
      <c r="E172" s="41">
        <f>IF('1. Inputs'!$F31=0,"",'1. Inputs'!$F31)</f>
        <v>400</v>
      </c>
      <c r="F172" s="41">
        <f>IF('1. Inputs'!$F31=0,"",'1. Inputs'!$F31)</f>
        <v>400</v>
      </c>
      <c r="G172" s="41">
        <f>IF('1. Inputs'!$F31=0,"",'1. Inputs'!$F31)</f>
        <v>400</v>
      </c>
      <c r="H172" s="41">
        <f>IF('1. Inputs'!$F31=0,"",'1. Inputs'!$F31)</f>
        <v>400</v>
      </c>
      <c r="I172" s="41">
        <f>IF('1. Inputs'!$F31=0,"",'1. Inputs'!$F31)</f>
        <v>400</v>
      </c>
      <c r="J172" s="41">
        <f>IF('1. Inputs'!$F31=0,"",'1. Inputs'!$F31)</f>
        <v>400</v>
      </c>
      <c r="K172" s="41">
        <f>IF('1. Inputs'!$F31=0,"",'1. Inputs'!$F31)</f>
        <v>400</v>
      </c>
      <c r="L172" s="41">
        <f>IF('1. Inputs'!$F31=0,"",'1. Inputs'!$F31)</f>
        <v>400</v>
      </c>
      <c r="M172" s="41">
        <f>IF('1. Inputs'!$F31=0,"",'1. Inputs'!$F31)</f>
        <v>400</v>
      </c>
    </row>
    <row r="173" spans="2:13">
      <c r="B173" s="261" t="s">
        <v>7</v>
      </c>
      <c r="C173" s="261"/>
      <c r="D173" s="41">
        <f>IF('1. Inputs'!$F32=0,"",'1. Inputs'!$F32)</f>
        <v>400</v>
      </c>
      <c r="E173" s="41">
        <f>IF('1. Inputs'!$F32=0,"",'1. Inputs'!$F32)</f>
        <v>400</v>
      </c>
      <c r="F173" s="41">
        <f>IF('1. Inputs'!$F32=0,"",'1. Inputs'!$F32)</f>
        <v>400</v>
      </c>
      <c r="G173" s="41">
        <f>IF('1. Inputs'!$F32=0,"",'1. Inputs'!$F32)</f>
        <v>400</v>
      </c>
      <c r="H173" s="41">
        <f>IF('1. Inputs'!$F32=0,"",'1. Inputs'!$F32)</f>
        <v>400</v>
      </c>
      <c r="I173" s="41">
        <f>IF('1. Inputs'!$F32=0,"",'1. Inputs'!$F32)</f>
        <v>400</v>
      </c>
      <c r="J173" s="41">
        <f>IF('1. Inputs'!$F32=0,"",'1. Inputs'!$F32)</f>
        <v>400</v>
      </c>
      <c r="K173" s="41">
        <f>IF('1. Inputs'!$F32=0,"",'1. Inputs'!$F32)</f>
        <v>400</v>
      </c>
      <c r="L173" s="41">
        <f>IF('1. Inputs'!$F32=0,"",'1. Inputs'!$F32)</f>
        <v>400</v>
      </c>
      <c r="M173" s="41">
        <f>IF('1. Inputs'!$F32=0,"",'1. Inputs'!$F32)</f>
        <v>400</v>
      </c>
    </row>
    <row r="174" spans="2:13">
      <c r="B174" s="261" t="s">
        <v>8</v>
      </c>
      <c r="C174" s="261"/>
      <c r="D174" s="41">
        <f>IF('1. Inputs'!$F33=0,"",'1. Inputs'!$F33)</f>
        <v>400</v>
      </c>
      <c r="E174" s="41">
        <f>IF('1. Inputs'!$F33=0,"",'1. Inputs'!$F33)</f>
        <v>400</v>
      </c>
      <c r="F174" s="41">
        <f>IF('1. Inputs'!$F33=0,"",'1. Inputs'!$F33)</f>
        <v>400</v>
      </c>
      <c r="G174" s="41">
        <f>IF('1. Inputs'!$F33=0,"",'1. Inputs'!$F33)</f>
        <v>400</v>
      </c>
      <c r="H174" s="41">
        <f>IF('1. Inputs'!$F33=0,"",'1. Inputs'!$F33)</f>
        <v>400</v>
      </c>
      <c r="I174" s="41">
        <f>IF('1. Inputs'!$F33=0,"",'1. Inputs'!$F33)</f>
        <v>400</v>
      </c>
      <c r="J174" s="41">
        <f>IF('1. Inputs'!$F33=0,"",'1. Inputs'!$F33)</f>
        <v>400</v>
      </c>
      <c r="K174" s="41">
        <f>IF('1. Inputs'!$F33=0,"",'1. Inputs'!$F33)</f>
        <v>400</v>
      </c>
      <c r="L174" s="41">
        <f>IF('1. Inputs'!$F33=0,"",'1. Inputs'!$F33)</f>
        <v>400</v>
      </c>
      <c r="M174" s="41">
        <f>IF('1. Inputs'!$F33=0,"",'1. Inputs'!$F33)</f>
        <v>400</v>
      </c>
    </row>
    <row r="175" spans="2:13">
      <c r="B175" s="261" t="s">
        <v>9</v>
      </c>
      <c r="C175" s="261"/>
      <c r="D175" s="41">
        <f>IF('1. Inputs'!$F34=0,"",'1. Inputs'!$F34)</f>
        <v>100</v>
      </c>
      <c r="E175" s="41">
        <f>IF('1. Inputs'!$F34=0,"",'1. Inputs'!$F34)</f>
        <v>100</v>
      </c>
      <c r="F175" s="41">
        <f>IF('1. Inputs'!$F34=0,"",'1. Inputs'!$F34)</f>
        <v>100</v>
      </c>
      <c r="G175" s="41">
        <f>IF('1. Inputs'!$F34=0,"",'1. Inputs'!$F34)</f>
        <v>100</v>
      </c>
      <c r="H175" s="41">
        <f>IF('1. Inputs'!$F34=0,"",'1. Inputs'!$F34)</f>
        <v>100</v>
      </c>
      <c r="I175" s="41">
        <f>IF('1. Inputs'!$F34=0,"",'1. Inputs'!$F34)</f>
        <v>100</v>
      </c>
      <c r="J175" s="41">
        <f>IF('1. Inputs'!$F34=0,"",'1. Inputs'!$F34)</f>
        <v>100</v>
      </c>
      <c r="K175" s="41">
        <f>IF('1. Inputs'!$F34=0,"",'1. Inputs'!$F34)</f>
        <v>100</v>
      </c>
      <c r="L175" s="41">
        <f>IF('1. Inputs'!$F34=0,"",'1. Inputs'!$F34)</f>
        <v>100</v>
      </c>
      <c r="M175" s="41">
        <f>IF('1. Inputs'!$F34=0,"",'1. Inputs'!$F34)</f>
        <v>100</v>
      </c>
    </row>
    <row r="176" spans="2:13">
      <c r="B176" s="261" t="s">
        <v>32</v>
      </c>
      <c r="C176" s="261"/>
      <c r="D176" s="41">
        <f>IF('1. Inputs'!$F35=0,"",'1. Inputs'!$F35)</f>
        <v>500</v>
      </c>
      <c r="E176" s="41">
        <f>IF('1. Inputs'!$F35=0,"",'1. Inputs'!$F35)</f>
        <v>500</v>
      </c>
      <c r="F176" s="41">
        <f>IF('1. Inputs'!$F35=0,"",'1. Inputs'!$F35)</f>
        <v>500</v>
      </c>
      <c r="G176" s="41">
        <f>IF('1. Inputs'!$F35=0,"",'1. Inputs'!$F35)</f>
        <v>500</v>
      </c>
      <c r="H176" s="41">
        <f>IF('1. Inputs'!$F35=0,"",'1. Inputs'!$F35)</f>
        <v>500</v>
      </c>
      <c r="I176" s="41">
        <f>IF('1. Inputs'!$F35=0,"",'1. Inputs'!$F35)</f>
        <v>500</v>
      </c>
      <c r="J176" s="41">
        <f>IF('1. Inputs'!$F35=0,"",'1. Inputs'!$F35)</f>
        <v>500</v>
      </c>
      <c r="K176" s="41">
        <f>IF('1. Inputs'!$F35=0,"",'1. Inputs'!$F35)</f>
        <v>500</v>
      </c>
      <c r="L176" s="41">
        <f>IF('1. Inputs'!$F35=0,"",'1. Inputs'!$F35)</f>
        <v>500</v>
      </c>
      <c r="M176" s="41">
        <f>IF('1. Inputs'!$F35=0,"",'1. Inputs'!$F35)</f>
        <v>500</v>
      </c>
    </row>
    <row r="177" spans="2:13">
      <c r="B177" s="261" t="s">
        <v>33</v>
      </c>
      <c r="C177" s="261"/>
      <c r="D177" s="41"/>
      <c r="E177" s="41">
        <f>IF('1. Inputs'!$F36=0,"",'1. Inputs'!$F36)</f>
        <v>250</v>
      </c>
      <c r="F177" s="41">
        <f>IF('1. Inputs'!$F36=0,"",'1. Inputs'!$F36)</f>
        <v>250</v>
      </c>
      <c r="G177" s="41">
        <f>IF('1. Inputs'!$F36=0,"",'1. Inputs'!$F36)</f>
        <v>250</v>
      </c>
      <c r="H177" s="41">
        <f>IF('1. Inputs'!$F36=0,"",'1. Inputs'!$F36)</f>
        <v>250</v>
      </c>
      <c r="I177" s="41">
        <f>IF('1. Inputs'!$F36=0,"",'1. Inputs'!$F36)</f>
        <v>250</v>
      </c>
      <c r="J177" s="41">
        <f>IF('1. Inputs'!$F36=0,"",'1. Inputs'!$F36)</f>
        <v>250</v>
      </c>
      <c r="K177" s="41">
        <f>IF('1. Inputs'!$F36=0,"",'1. Inputs'!$F36)</f>
        <v>250</v>
      </c>
      <c r="L177" s="41">
        <f>IF('1. Inputs'!$F36=0,"",'1. Inputs'!$F36)</f>
        <v>250</v>
      </c>
      <c r="M177" s="41">
        <f>IF('1. Inputs'!$F36=0,"",'1. Inputs'!$F36)</f>
        <v>250</v>
      </c>
    </row>
    <row r="178" spans="2:13">
      <c r="B178" s="261" t="s">
        <v>12</v>
      </c>
      <c r="C178" s="261"/>
      <c r="D178" s="41">
        <f>IF('1. Inputs'!$F37=0,"",'1. Inputs'!$F37)</f>
        <v>400</v>
      </c>
      <c r="E178" s="41">
        <f>IF('1. Inputs'!$F37=0,"",'1. Inputs'!$F37)</f>
        <v>400</v>
      </c>
      <c r="F178" s="41">
        <f>IF('1. Inputs'!$F37=0,"",'1. Inputs'!$F37)</f>
        <v>400</v>
      </c>
      <c r="G178" s="41">
        <f>IF('1. Inputs'!$F37=0,"",'1. Inputs'!$F37)</f>
        <v>400</v>
      </c>
      <c r="H178" s="41">
        <f>IF('1. Inputs'!$F37=0,"",'1. Inputs'!$F37)</f>
        <v>400</v>
      </c>
      <c r="I178" s="41">
        <f>IF('1. Inputs'!$F37=0,"",'1. Inputs'!$F37)</f>
        <v>400</v>
      </c>
      <c r="J178" s="41">
        <f>IF('1. Inputs'!$F37=0,"",'1. Inputs'!$F37)</f>
        <v>400</v>
      </c>
      <c r="K178" s="41">
        <f>IF('1. Inputs'!$F37=0,"",'1. Inputs'!$F37)</f>
        <v>400</v>
      </c>
      <c r="L178" s="41">
        <f>IF('1. Inputs'!$F37=0,"",'1. Inputs'!$F37)</f>
        <v>400</v>
      </c>
      <c r="M178" s="41">
        <f>IF('1. Inputs'!$F37=0,"",'1. Inputs'!$F37)</f>
        <v>400</v>
      </c>
    </row>
    <row r="179" spans="2:13">
      <c r="B179" s="261" t="s">
        <v>165</v>
      </c>
      <c r="C179" s="261"/>
      <c r="D179" s="41">
        <f>IF('1. Inputs'!$F38=0,"",'1. Inputs'!$F38)</f>
        <v>100</v>
      </c>
      <c r="E179" s="41">
        <f>IF('1. Inputs'!$F38=0,"",'1. Inputs'!$F38)</f>
        <v>100</v>
      </c>
      <c r="F179" s="41">
        <f>IF('1. Inputs'!$F38=0,"",'1. Inputs'!$F38)</f>
        <v>100</v>
      </c>
      <c r="G179" s="41">
        <f>IF('1. Inputs'!$F38=0,"",'1. Inputs'!$F38)</f>
        <v>100</v>
      </c>
      <c r="H179" s="41">
        <f>IF('1. Inputs'!$F38=0,"",'1. Inputs'!$F38)</f>
        <v>100</v>
      </c>
      <c r="I179" s="41">
        <f>IF('1. Inputs'!$F38=0,"",'1. Inputs'!$F38)</f>
        <v>100</v>
      </c>
      <c r="J179" s="41">
        <f>IF('1. Inputs'!$F38=0,"",'1. Inputs'!$F38)</f>
        <v>100</v>
      </c>
      <c r="K179" s="41">
        <f>IF('1. Inputs'!$F38=0,"",'1. Inputs'!$F38)</f>
        <v>100</v>
      </c>
      <c r="L179" s="41">
        <f>IF('1. Inputs'!$F38=0,"",'1. Inputs'!$F38)</f>
        <v>100</v>
      </c>
      <c r="M179" s="41">
        <f>IF('1. Inputs'!$F38=0,"",'1. Inputs'!$F38)</f>
        <v>100</v>
      </c>
    </row>
    <row r="180" spans="2:13">
      <c r="B180" s="261" t="s">
        <v>14</v>
      </c>
      <c r="C180" s="261"/>
      <c r="D180" s="41">
        <f>IF('1. Inputs'!$F39=0,"",'1. Inputs'!$F39)</f>
        <v>150</v>
      </c>
      <c r="E180" s="41">
        <f>IF('1. Inputs'!$F39=0,"",'1. Inputs'!$F39)</f>
        <v>150</v>
      </c>
      <c r="F180" s="41">
        <f>IF('1. Inputs'!$F39=0,"",'1. Inputs'!$F39)</f>
        <v>150</v>
      </c>
      <c r="G180" s="41">
        <f>IF('1. Inputs'!$F39=0,"",'1. Inputs'!$F39)</f>
        <v>150</v>
      </c>
      <c r="H180" s="41">
        <f>IF('1. Inputs'!$F39=0,"",'1. Inputs'!$F39)</f>
        <v>150</v>
      </c>
      <c r="I180" s="41">
        <f>IF('1. Inputs'!$F39=0,"",'1. Inputs'!$F39)</f>
        <v>150</v>
      </c>
      <c r="J180" s="41">
        <f>IF('1. Inputs'!$F39=0,"",'1. Inputs'!$F39)</f>
        <v>150</v>
      </c>
      <c r="K180" s="41">
        <f>IF('1. Inputs'!$F39=0,"",'1. Inputs'!$F39)</f>
        <v>150</v>
      </c>
      <c r="L180" s="41">
        <f>IF('1. Inputs'!$F39=0,"",'1. Inputs'!$F39)</f>
        <v>150</v>
      </c>
      <c r="M180" s="41">
        <f>IF('1. Inputs'!$F39=0,"",'1. Inputs'!$F39)</f>
        <v>150</v>
      </c>
    </row>
    <row r="181" spans="2:13">
      <c r="B181" s="261" t="s">
        <v>13</v>
      </c>
      <c r="C181" s="261"/>
      <c r="D181" s="41">
        <f>IF('1. Inputs'!$F40=0,"",'1. Inputs'!$F40)</f>
        <v>500</v>
      </c>
      <c r="E181" s="41">
        <f>IF('1. Inputs'!$F40=0,"",'1. Inputs'!$F40)</f>
        <v>500</v>
      </c>
      <c r="F181" s="41">
        <f>IF('1. Inputs'!$F40=0,"",'1. Inputs'!$F40)</f>
        <v>500</v>
      </c>
      <c r="G181" s="41">
        <f>IF('1. Inputs'!$F40=0,"",'1. Inputs'!$F40)</f>
        <v>500</v>
      </c>
      <c r="H181" s="41">
        <f>IF('1. Inputs'!$F40=0,"",'1. Inputs'!$F40)</f>
        <v>500</v>
      </c>
      <c r="I181" s="41">
        <f>IF('1. Inputs'!$F40=0,"",'1. Inputs'!$F40)</f>
        <v>500</v>
      </c>
      <c r="J181" s="41">
        <f>IF('1. Inputs'!$F40=0,"",'1. Inputs'!$F40)</f>
        <v>500</v>
      </c>
      <c r="K181" s="41">
        <f>IF('1. Inputs'!$F40=0,"",'1. Inputs'!$F40)</f>
        <v>500</v>
      </c>
      <c r="L181" s="41">
        <f>IF('1. Inputs'!$F40=0,"",'1. Inputs'!$F40)</f>
        <v>500</v>
      </c>
      <c r="M181" s="41">
        <f>IF('1. Inputs'!$F40=0,"",'1. Inputs'!$F40)</f>
        <v>500</v>
      </c>
    </row>
    <row r="182" spans="2:13">
      <c r="B182" s="261" t="s">
        <v>19</v>
      </c>
      <c r="C182" s="261"/>
      <c r="D182" s="41"/>
      <c r="E182" s="41">
        <f>IF('1. Inputs'!$F41=0,"",'1. Inputs'!$F41)</f>
        <v>250</v>
      </c>
      <c r="F182" s="41">
        <f>IF('1. Inputs'!$F41=0,"",'1. Inputs'!$F41)</f>
        <v>250</v>
      </c>
      <c r="G182" s="41">
        <f>IF('1. Inputs'!$F41=0,"",'1. Inputs'!$F41)</f>
        <v>250</v>
      </c>
      <c r="H182" s="41">
        <f>IF('1. Inputs'!$F41=0,"",'1. Inputs'!$F41)</f>
        <v>250</v>
      </c>
      <c r="I182" s="41">
        <f>IF('1. Inputs'!$F41=0,"",'1. Inputs'!$F41)</f>
        <v>250</v>
      </c>
      <c r="J182" s="41">
        <f>IF('1. Inputs'!$F41=0,"",'1. Inputs'!$F41)</f>
        <v>250</v>
      </c>
      <c r="K182" s="41">
        <f>IF('1. Inputs'!$F41=0,"",'1. Inputs'!$F41)</f>
        <v>250</v>
      </c>
      <c r="L182" s="41">
        <f>IF('1. Inputs'!$F41=0,"",'1. Inputs'!$F41)</f>
        <v>250</v>
      </c>
      <c r="M182" s="41">
        <f>IF('1. Inputs'!$F41=0,"",'1. Inputs'!$F41)</f>
        <v>250</v>
      </c>
    </row>
    <row r="183" spans="2:13">
      <c r="B183" s="261" t="s">
        <v>166</v>
      </c>
      <c r="C183" s="261"/>
      <c r="D183" s="41">
        <f>IF('1. Inputs'!$F42=0,"",'1. Inputs'!$F42)</f>
        <v>100</v>
      </c>
      <c r="E183" s="41">
        <f>IF('1. Inputs'!$F42=0,"",'1. Inputs'!$F42)</f>
        <v>100</v>
      </c>
      <c r="F183" s="41">
        <f>IF('1. Inputs'!$F42=0,"",'1. Inputs'!$F42)</f>
        <v>100</v>
      </c>
      <c r="G183" s="41">
        <f>IF('1. Inputs'!$F42=0,"",'1. Inputs'!$F42)</f>
        <v>100</v>
      </c>
      <c r="H183" s="41">
        <f>IF('1. Inputs'!$F42=0,"",'1. Inputs'!$F42)</f>
        <v>100</v>
      </c>
      <c r="I183" s="41">
        <f>IF('1. Inputs'!$F42=0,"",'1. Inputs'!$F42)</f>
        <v>100</v>
      </c>
      <c r="J183" s="41">
        <f>IF('1. Inputs'!$F42=0,"",'1. Inputs'!$F42)</f>
        <v>100</v>
      </c>
      <c r="K183" s="41">
        <f>IF('1. Inputs'!$F42=0,"",'1. Inputs'!$F42)</f>
        <v>100</v>
      </c>
      <c r="L183" s="41">
        <f>IF('1. Inputs'!$F42=0,"",'1. Inputs'!$F42)</f>
        <v>100</v>
      </c>
      <c r="M183" s="41">
        <f>IF('1. Inputs'!$F42=0,"",'1. Inputs'!$F42)</f>
        <v>100</v>
      </c>
    </row>
    <row r="184" spans="2:13">
      <c r="B184" s="261" t="s">
        <v>20</v>
      </c>
      <c r="C184" s="261"/>
      <c r="D184" s="41"/>
      <c r="E184" s="41"/>
      <c r="F184" s="41">
        <f>IF('1. Inputs'!$F43=0,"",'1. Inputs'!$F43)</f>
        <v>100</v>
      </c>
      <c r="G184" s="41">
        <f>IF('1. Inputs'!$F43=0,"",'1. Inputs'!$F43)</f>
        <v>100</v>
      </c>
      <c r="H184" s="41">
        <f>IF('1. Inputs'!$F43=0,"",'1. Inputs'!$F43)</f>
        <v>100</v>
      </c>
      <c r="I184" s="41">
        <f>IF('1. Inputs'!$F43=0,"",'1. Inputs'!$F43)</f>
        <v>100</v>
      </c>
      <c r="J184" s="41">
        <f>IF('1. Inputs'!$F43=0,"",'1. Inputs'!$F43)</f>
        <v>100</v>
      </c>
      <c r="K184" s="41">
        <f>IF('1. Inputs'!$F43=0,"",'1. Inputs'!$F43)</f>
        <v>100</v>
      </c>
      <c r="L184" s="41">
        <f>IF('1. Inputs'!$F43=0,"",'1. Inputs'!$F43)</f>
        <v>100</v>
      </c>
      <c r="M184" s="41">
        <f>IF('1. Inputs'!$F43=0,"",'1. Inputs'!$F43)</f>
        <v>100</v>
      </c>
    </row>
    <row r="185" spans="2:13">
      <c r="B185" s="261" t="s">
        <v>21</v>
      </c>
      <c r="C185" s="261"/>
      <c r="D185" s="41"/>
      <c r="E185" s="41">
        <f>IF('1. Inputs'!$F44=0,"",'1. Inputs'!$F44)</f>
        <v>20</v>
      </c>
      <c r="F185" s="41">
        <f>IF('1. Inputs'!$F44=0,"",'1. Inputs'!$F44)</f>
        <v>20</v>
      </c>
      <c r="G185" s="41">
        <f>IF('1. Inputs'!$F44=0,"",'1. Inputs'!$F44)</f>
        <v>20</v>
      </c>
      <c r="H185" s="41">
        <f>IF('1. Inputs'!$F44=0,"",'1. Inputs'!$F44)</f>
        <v>20</v>
      </c>
      <c r="I185" s="41">
        <f>IF('1. Inputs'!$F44=0,"",'1. Inputs'!$F44)</f>
        <v>20</v>
      </c>
      <c r="J185" s="41">
        <f>IF('1. Inputs'!$F44=0,"",'1. Inputs'!$F44)</f>
        <v>20</v>
      </c>
      <c r="K185" s="41">
        <f>IF('1. Inputs'!$F44=0,"",'1. Inputs'!$F44)</f>
        <v>20</v>
      </c>
      <c r="L185" s="41">
        <f>IF('1. Inputs'!$F44=0,"",'1. Inputs'!$F44)</f>
        <v>20</v>
      </c>
      <c r="M185" s="41">
        <f>IF('1. Inputs'!$F44=0,"",'1. Inputs'!$F44)</f>
        <v>20</v>
      </c>
    </row>
    <row r="186" spans="2:13">
      <c r="B186" s="261" t="s">
        <v>22</v>
      </c>
      <c r="C186" s="261"/>
      <c r="D186" s="41"/>
      <c r="E186" s="41">
        <f>IF('1. Inputs'!$F45=0,"",'1. Inputs'!$F45)</f>
        <v>50</v>
      </c>
      <c r="F186" s="41">
        <f>IF('1. Inputs'!$F45=0,"",'1. Inputs'!$F45)</f>
        <v>50</v>
      </c>
      <c r="G186" s="41">
        <f>IF('1. Inputs'!$F45=0,"",'1. Inputs'!$F45)</f>
        <v>50</v>
      </c>
      <c r="H186" s="41">
        <f>IF('1. Inputs'!$F45=0,"",'1. Inputs'!$F45)</f>
        <v>50</v>
      </c>
      <c r="I186" s="41">
        <f>IF('1. Inputs'!$F45=0,"",'1. Inputs'!$F45)</f>
        <v>50</v>
      </c>
      <c r="J186" s="41">
        <f>IF('1. Inputs'!$F45=0,"",'1. Inputs'!$F45)</f>
        <v>50</v>
      </c>
      <c r="K186" s="41">
        <f>IF('1. Inputs'!$F45=0,"",'1. Inputs'!$F45)</f>
        <v>50</v>
      </c>
      <c r="L186" s="41">
        <f>IF('1. Inputs'!$F45=0,"",'1. Inputs'!$F45)</f>
        <v>50</v>
      </c>
      <c r="M186" s="41">
        <f>IF('1. Inputs'!$F45=0,"",'1. Inputs'!$F45)</f>
        <v>50</v>
      </c>
    </row>
    <row r="187" spans="2:13">
      <c r="B187" s="261" t="s">
        <v>167</v>
      </c>
      <c r="C187" s="261"/>
      <c r="D187" s="41" t="str">
        <f>IF('1. Inputs'!$F46=0,"",'1. Inputs'!$F46)</f>
        <v/>
      </c>
      <c r="E187" s="41" t="str">
        <f>IF('1. Inputs'!$F46=0,"",'1. Inputs'!$F46)</f>
        <v/>
      </c>
      <c r="F187" s="41" t="str">
        <f>IF('1. Inputs'!$F46=0,"",'1. Inputs'!$F46)</f>
        <v/>
      </c>
      <c r="G187" s="41" t="str">
        <f>IF('1. Inputs'!$F46=0,"",'1. Inputs'!$F46)</f>
        <v/>
      </c>
      <c r="H187" s="41" t="str">
        <f>IF('1. Inputs'!$F46=0,"",'1. Inputs'!$F46)</f>
        <v/>
      </c>
      <c r="I187" s="41" t="str">
        <f>IF('1. Inputs'!$F46=0,"",'1. Inputs'!$F46)</f>
        <v/>
      </c>
      <c r="J187" s="41" t="str">
        <f>IF('1. Inputs'!$F46=0,"",'1. Inputs'!$F46)</f>
        <v/>
      </c>
      <c r="K187" s="41" t="str">
        <f>IF('1. Inputs'!$F46=0,"",'1. Inputs'!$F46)</f>
        <v/>
      </c>
      <c r="L187" s="41" t="str">
        <f>IF('1. Inputs'!$F46=0,"",'1. Inputs'!$F46)</f>
        <v/>
      </c>
      <c r="M187" s="41" t="str">
        <f>IF('1. Inputs'!$F46=0,"",'1. Inputs'!$F46)</f>
        <v/>
      </c>
    </row>
    <row r="188" spans="2:13">
      <c r="B188" s="268" t="s">
        <v>168</v>
      </c>
      <c r="C188" s="268"/>
      <c r="D188" s="41" t="str">
        <f>IF('1. Inputs'!$F47=0,"",'1. Inputs'!$F47)</f>
        <v/>
      </c>
      <c r="E188" s="41" t="str">
        <f>IF('1. Inputs'!$F47=0,"",'1. Inputs'!$F47)</f>
        <v/>
      </c>
      <c r="F188" s="41" t="str">
        <f>IF('1. Inputs'!$F47=0,"",'1. Inputs'!$F47)</f>
        <v/>
      </c>
      <c r="G188" s="41" t="str">
        <f>IF('1. Inputs'!$F47=0,"",'1. Inputs'!$F47)</f>
        <v/>
      </c>
      <c r="H188" s="41" t="str">
        <f>IF('1. Inputs'!$F47=0,"",'1. Inputs'!$F47)</f>
        <v/>
      </c>
      <c r="I188" s="41" t="str">
        <f>IF('1. Inputs'!$F47=0,"",'1. Inputs'!$F47)</f>
        <v/>
      </c>
      <c r="J188" s="41" t="str">
        <f>IF('1. Inputs'!$F47=0,"",'1. Inputs'!$F47)</f>
        <v/>
      </c>
      <c r="K188" s="41" t="str">
        <f>IF('1. Inputs'!$F47=0,"",'1. Inputs'!$F47)</f>
        <v/>
      </c>
      <c r="L188" s="41" t="str">
        <f>IF('1. Inputs'!$F47=0,"",'1. Inputs'!$F47)</f>
        <v/>
      </c>
      <c r="M188" s="41" t="str">
        <f>IF('1. Inputs'!$F47=0,"",'1. Inputs'!$F47)</f>
        <v/>
      </c>
    </row>
    <row r="189" spans="2:13">
      <c r="B189" s="262" t="s">
        <v>119</v>
      </c>
      <c r="C189" s="262"/>
      <c r="D189" s="42">
        <f>SUM(D160:D188)</f>
        <v>27806.560000000001</v>
      </c>
      <c r="E189" s="42">
        <f t="shared" ref="E189:L189" si="66">SUM(E160:E188)</f>
        <v>3800</v>
      </c>
      <c r="F189" s="42">
        <f t="shared" si="66"/>
        <v>3900</v>
      </c>
      <c r="G189" s="42">
        <f t="shared" si="66"/>
        <v>3720</v>
      </c>
      <c r="H189" s="42">
        <f t="shared" si="66"/>
        <v>3720</v>
      </c>
      <c r="I189" s="42">
        <f t="shared" si="66"/>
        <v>3720</v>
      </c>
      <c r="J189" s="42">
        <f t="shared" si="66"/>
        <v>3720</v>
      </c>
      <c r="K189" s="42">
        <f t="shared" si="66"/>
        <v>3720</v>
      </c>
      <c r="L189" s="42">
        <f t="shared" si="66"/>
        <v>3720</v>
      </c>
      <c r="M189" s="42">
        <f>SUM(M160:M188)</f>
        <v>3720</v>
      </c>
    </row>
    <row r="190" spans="2:13">
      <c r="B190" s="263" t="s">
        <v>121</v>
      </c>
      <c r="C190" s="263"/>
      <c r="D190" s="42">
        <f>SUM(D158, D189*-1)</f>
        <v>-27806.560000000001</v>
      </c>
      <c r="E190" s="42">
        <f t="shared" ref="E190:M190" si="67">SUM(E158, E189*-1)</f>
        <v>6176.5</v>
      </c>
      <c r="F190" s="42">
        <f t="shared" si="67"/>
        <v>7739.25</v>
      </c>
      <c r="G190" s="42">
        <f t="shared" si="67"/>
        <v>10413.375000000002</v>
      </c>
      <c r="H190" s="42">
        <f t="shared" si="67"/>
        <v>10413.375000000002</v>
      </c>
      <c r="I190" s="42">
        <f t="shared" si="67"/>
        <v>10413.375000000002</v>
      </c>
      <c r="J190" s="42">
        <f t="shared" si="67"/>
        <v>10413.375000000002</v>
      </c>
      <c r="K190" s="42">
        <f t="shared" si="67"/>
        <v>10413.375000000002</v>
      </c>
      <c r="L190" s="42">
        <f t="shared" si="67"/>
        <v>10413.375000000002</v>
      </c>
      <c r="M190" s="42">
        <f t="shared" si="67"/>
        <v>10413.375000000002</v>
      </c>
    </row>
    <row r="191" spans="2:13">
      <c r="B191" s="267" t="s">
        <v>122</v>
      </c>
      <c r="C191" s="267"/>
      <c r="D191" s="45">
        <f>D190</f>
        <v>-27806.560000000001</v>
      </c>
      <c r="E191" s="45">
        <f>E190+D191</f>
        <v>-21630.06</v>
      </c>
      <c r="F191" s="45">
        <f t="shared" ref="F191" si="68">F190+E191</f>
        <v>-13890.810000000001</v>
      </c>
      <c r="G191" s="45">
        <f t="shared" ref="G191" si="69">G190+F191</f>
        <v>-3477.4349999999995</v>
      </c>
      <c r="H191" s="45">
        <f t="shared" ref="H191" si="70">H190+G191</f>
        <v>6935.9400000000023</v>
      </c>
      <c r="I191" s="45">
        <f t="shared" ref="I191" si="71">I190+H191</f>
        <v>17349.315000000002</v>
      </c>
      <c r="J191" s="45">
        <f t="shared" ref="J191" si="72">J190+I191</f>
        <v>27762.690000000002</v>
      </c>
      <c r="K191" s="45">
        <f t="shared" ref="K191" si="73">K190+J191</f>
        <v>38176.065000000002</v>
      </c>
      <c r="L191" s="45">
        <f t="shared" ref="L191" si="74">L190+K191</f>
        <v>48589.440000000002</v>
      </c>
      <c r="M191" s="45">
        <f>M190+L191</f>
        <v>59002.815000000002</v>
      </c>
    </row>
    <row r="194" spans="2:13" ht="18.5">
      <c r="B194" s="19" t="s">
        <v>28</v>
      </c>
    </row>
    <row r="195" spans="2:13" ht="7" customHeight="1"/>
    <row r="196" spans="2:13" ht="15.5">
      <c r="B196" s="20" t="s">
        <v>141</v>
      </c>
      <c r="C196" s="33"/>
      <c r="D196" s="20" t="str">
        <f>"VARIETY:  "&amp;'1. Inputs'!E96</f>
        <v>VARIETY:  DEMORANVILLE</v>
      </c>
      <c r="F196" s="32"/>
    </row>
    <row r="197" spans="2:13">
      <c r="B197" s="260"/>
      <c r="C197" s="260"/>
      <c r="D197" s="137" t="s">
        <v>66</v>
      </c>
      <c r="E197" s="137" t="s">
        <v>57</v>
      </c>
      <c r="F197" s="137" t="s">
        <v>58</v>
      </c>
      <c r="G197" s="137" t="s">
        <v>59</v>
      </c>
      <c r="H197" s="137" t="s">
        <v>60</v>
      </c>
      <c r="I197" s="137" t="s">
        <v>61</v>
      </c>
      <c r="J197" s="137" t="s">
        <v>62</v>
      </c>
      <c r="K197" s="137" t="s">
        <v>63</v>
      </c>
      <c r="L197" s="137" t="s">
        <v>64</v>
      </c>
      <c r="M197" s="137" t="s">
        <v>65</v>
      </c>
    </row>
    <row r="198" spans="2:13">
      <c r="B198" s="264" t="s">
        <v>116</v>
      </c>
      <c r="C198" s="264"/>
      <c r="D198" s="28"/>
      <c r="E198" s="28"/>
      <c r="F198" s="28"/>
      <c r="G198" s="28"/>
      <c r="H198" s="28"/>
      <c r="I198" s="28"/>
      <c r="J198" s="28"/>
      <c r="K198" s="28"/>
      <c r="L198" s="28"/>
      <c r="M198" s="28"/>
    </row>
    <row r="199" spans="2:13">
      <c r="B199" s="265" t="s">
        <v>117</v>
      </c>
      <c r="C199" s="265"/>
      <c r="D199" s="40">
        <f>VLOOKUP('1. Inputs'!$E$96,'Variety Data'!$B$6:$Q$21,2,FALSE)</f>
        <v>0</v>
      </c>
      <c r="E199" s="40">
        <f>VLOOKUP('1. Inputs'!$E$96,'Variety Data'!$B$6:$Q$21,3,FALSE)</f>
        <v>150</v>
      </c>
      <c r="F199" s="40">
        <f>VLOOKUP('1. Inputs'!$E$96,'Variety Data'!$B$6:$Q$21,4,FALSE)</f>
        <v>200</v>
      </c>
      <c r="G199" s="40">
        <f>VLOOKUP('1. Inputs'!$E$96,'Variety Data'!$B$6:$Q$21,5,FALSE)</f>
        <v>300</v>
      </c>
      <c r="H199" s="40">
        <f>VLOOKUP('1. Inputs'!$E$96,'Variety Data'!$B$6:$Q$21,6,FALSE)</f>
        <v>300</v>
      </c>
      <c r="I199" s="40">
        <f>VLOOKUP('1. Inputs'!$E$96,'Variety Data'!$B$6:$Q$21,7,FALSE)</f>
        <v>300</v>
      </c>
      <c r="J199" s="40">
        <f>VLOOKUP('1. Inputs'!$E$96,'Variety Data'!$B$6:$Q$21,8,FALSE)</f>
        <v>300</v>
      </c>
      <c r="K199" s="40">
        <f>VLOOKUP('1. Inputs'!$E$96,'Variety Data'!$B$6:$Q$21,9,FALSE)</f>
        <v>300</v>
      </c>
      <c r="L199" s="40">
        <f>VLOOKUP('1. Inputs'!$E$96,'Variety Data'!$B$6:$Q$21,10,FALSE)</f>
        <v>300</v>
      </c>
      <c r="M199" s="40">
        <f>VLOOKUP('1. Inputs'!$E$96,'Variety Data'!$B$6:$Q$21,11,FALSE)</f>
        <v>300</v>
      </c>
    </row>
    <row r="200" spans="2:13">
      <c r="B200" s="139" t="str">
        <f>"Revenue @ $"&amp;ROUND('1. Inputs'!$H$23,2)&amp;" /bbl"</f>
        <v>Revenue @ $33.26 /bbl</v>
      </c>
      <c r="C200" s="139"/>
      <c r="D200" s="41" t="str">
        <f>IF('1. Inputs'!$H$23*D199=0,"",'1. Inputs'!$H$23*D199)</f>
        <v/>
      </c>
      <c r="E200" s="41">
        <f>IF('1. Inputs'!$H$23*E199=0,"",'1. Inputs'!$H$23*E199)</f>
        <v>4988.25</v>
      </c>
      <c r="F200" s="41">
        <f>IF('1. Inputs'!$H$23*F199=0,"",'1. Inputs'!$H$23*F199)</f>
        <v>6651.0000000000009</v>
      </c>
      <c r="G200" s="41">
        <f>IF('1. Inputs'!$H$23*G199=0,"",'1. Inputs'!$H$23*G199)</f>
        <v>9976.5</v>
      </c>
      <c r="H200" s="41">
        <f>IF('1. Inputs'!$H$23*H199=0,"",'1. Inputs'!$H$23*H199)</f>
        <v>9976.5</v>
      </c>
      <c r="I200" s="41">
        <f>IF('1. Inputs'!$H$23*I199=0,"",'1. Inputs'!$H$23*I199)</f>
        <v>9976.5</v>
      </c>
      <c r="J200" s="41">
        <f>IF('1. Inputs'!$H$23*J199=0,"",'1. Inputs'!$H$23*J199)</f>
        <v>9976.5</v>
      </c>
      <c r="K200" s="41">
        <f>IF('1. Inputs'!$H$23*K199=0,"",'1. Inputs'!$H$23*K199)</f>
        <v>9976.5</v>
      </c>
      <c r="L200" s="41">
        <f>IF('1. Inputs'!$H$23*L199=0,"",'1. Inputs'!$H$23*L199)</f>
        <v>9976.5</v>
      </c>
      <c r="M200" s="41">
        <f>IF('1. Inputs'!$H$23*M199=0,"",'1. Inputs'!$H$23*M199)</f>
        <v>9976.5</v>
      </c>
    </row>
    <row r="201" spans="2:13">
      <c r="B201" s="262" t="s">
        <v>120</v>
      </c>
      <c r="C201" s="262"/>
      <c r="D201" s="42" t="str">
        <f>D200</f>
        <v/>
      </c>
      <c r="E201" s="42">
        <f t="shared" ref="E201" si="75">E200</f>
        <v>4988.25</v>
      </c>
      <c r="F201" s="42">
        <f t="shared" ref="F201" si="76">F200</f>
        <v>6651.0000000000009</v>
      </c>
      <c r="G201" s="42">
        <f t="shared" ref="G201" si="77">G200</f>
        <v>9976.5</v>
      </c>
      <c r="H201" s="42">
        <f t="shared" ref="H201" si="78">H200</f>
        <v>9976.5</v>
      </c>
      <c r="I201" s="42">
        <f t="shared" ref="I201" si="79">I200</f>
        <v>9976.5</v>
      </c>
      <c r="J201" s="42">
        <f t="shared" ref="J201" si="80">J200</f>
        <v>9976.5</v>
      </c>
      <c r="K201" s="42">
        <f t="shared" ref="K201" si="81">K200</f>
        <v>9976.5</v>
      </c>
      <c r="L201" s="42">
        <f t="shared" ref="L201" si="82">L200</f>
        <v>9976.5</v>
      </c>
      <c r="M201" s="42">
        <f t="shared" ref="M201" si="83">M200</f>
        <v>9976.5</v>
      </c>
    </row>
    <row r="202" spans="2:13">
      <c r="B202" s="266" t="s">
        <v>118</v>
      </c>
      <c r="C202" s="266"/>
      <c r="D202" s="41"/>
      <c r="E202" s="41"/>
      <c r="F202" s="41"/>
      <c r="G202" s="41"/>
      <c r="H202" s="41"/>
      <c r="I202" s="41"/>
      <c r="J202" s="41"/>
      <c r="K202" s="41"/>
      <c r="L202" s="41"/>
      <c r="M202" s="41"/>
    </row>
    <row r="203" spans="2:13">
      <c r="B203" s="140" t="s">
        <v>18</v>
      </c>
      <c r="C203" s="140"/>
      <c r="D203" s="41">
        <f>IF('1. Inputs'!$F99=0,"",'1. Inputs'!$F99)</f>
        <v>2000</v>
      </c>
      <c r="E203" s="41"/>
      <c r="F203" s="41"/>
      <c r="G203" s="41"/>
      <c r="H203" s="41"/>
      <c r="I203" s="41"/>
      <c r="J203" s="41"/>
      <c r="K203" s="41"/>
      <c r="L203" s="41"/>
      <c r="M203" s="41"/>
    </row>
    <row r="204" spans="2:13">
      <c r="B204" s="140" t="s">
        <v>15</v>
      </c>
      <c r="C204" s="140"/>
      <c r="D204" s="41">
        <f>IF('1. Inputs'!$F100=0,"",'1. Inputs'!$F100)</f>
        <v>50</v>
      </c>
      <c r="E204" s="41"/>
      <c r="F204" s="41"/>
      <c r="G204" s="41"/>
      <c r="H204" s="41"/>
      <c r="I204" s="41"/>
      <c r="J204" s="41"/>
      <c r="K204" s="41"/>
      <c r="L204" s="41"/>
      <c r="M204" s="41"/>
    </row>
    <row r="205" spans="2:13">
      <c r="B205" s="140" t="s">
        <v>16</v>
      </c>
      <c r="C205" s="140"/>
      <c r="D205" s="41">
        <f>IF('1. Inputs'!$F101=0,"",'1. Inputs'!$F101)</f>
        <v>4000</v>
      </c>
      <c r="E205" s="41"/>
      <c r="F205" s="41"/>
      <c r="G205" s="41"/>
      <c r="H205" s="41"/>
      <c r="I205" s="41"/>
      <c r="J205" s="41"/>
      <c r="K205" s="41"/>
      <c r="L205" s="41"/>
      <c r="M205" s="41"/>
    </row>
    <row r="206" spans="2:13">
      <c r="B206" s="140" t="s">
        <v>124</v>
      </c>
      <c r="C206" s="140"/>
      <c r="D206" s="41">
        <f>IF('1. Inputs'!$F102=0,"",'1. Inputs'!$F102)</f>
        <v>14632.2</v>
      </c>
      <c r="E206" s="41"/>
      <c r="F206" s="41"/>
      <c r="G206" s="41"/>
      <c r="H206" s="41"/>
      <c r="I206" s="41"/>
      <c r="J206" s="41"/>
      <c r="K206" s="41"/>
      <c r="L206" s="41"/>
      <c r="M206" s="41"/>
    </row>
    <row r="207" spans="2:13">
      <c r="B207" s="140" t="s">
        <v>83</v>
      </c>
      <c r="C207" s="140"/>
      <c r="D207" s="41">
        <f>IF('1. Inputs'!$F103=0,"",'1. Inputs'!$F103)</f>
        <v>1000</v>
      </c>
      <c r="E207" s="41"/>
      <c r="F207" s="41"/>
      <c r="G207" s="41"/>
      <c r="H207" s="41"/>
      <c r="I207" s="41"/>
      <c r="J207" s="41"/>
      <c r="K207" s="41"/>
      <c r="L207" s="41"/>
      <c r="M207" s="41"/>
    </row>
    <row r="208" spans="2:13">
      <c r="B208" s="140" t="s">
        <v>17</v>
      </c>
      <c r="C208" s="140"/>
      <c r="D208" s="41">
        <f>IF('1. Inputs'!$F104=0,"",'1. Inputs'!$F104)</f>
        <v>1750</v>
      </c>
      <c r="E208" s="41"/>
      <c r="F208" s="41"/>
      <c r="G208" s="41"/>
      <c r="H208" s="41"/>
      <c r="I208" s="41"/>
      <c r="J208" s="41"/>
      <c r="K208" s="41"/>
      <c r="L208" s="41"/>
      <c r="M208" s="41"/>
    </row>
    <row r="209" spans="2:13">
      <c r="B209" s="163" t="s">
        <v>213</v>
      </c>
      <c r="C209" s="140"/>
      <c r="D209" s="41">
        <f>IF('1. Inputs'!$F105=0,"",'1. Inputs'!$F105)</f>
        <v>2194.83</v>
      </c>
      <c r="E209" s="41"/>
      <c r="F209" s="41"/>
      <c r="G209" s="41"/>
      <c r="H209" s="41"/>
      <c r="I209" s="41"/>
      <c r="J209" s="41"/>
      <c r="K209" s="41"/>
      <c r="L209" s="41"/>
      <c r="M209" s="41"/>
    </row>
    <row r="210" spans="2:13">
      <c r="B210" s="163" t="s">
        <v>212</v>
      </c>
      <c r="C210" s="162"/>
      <c r="D210" s="41"/>
      <c r="E210" s="41" t="str">
        <f>IF('1. Inputs'!$F106=0,"",'1. Inputs'!$F106)</f>
        <v/>
      </c>
      <c r="F210" s="41" t="str">
        <f>IF('1. Inputs'!$F106=0,"",'1. Inputs'!$F106)</f>
        <v/>
      </c>
      <c r="G210" s="41" t="str">
        <f>IF('1. Inputs'!$F106=0,"",'1. Inputs'!$F106)</f>
        <v/>
      </c>
      <c r="H210" s="41" t="str">
        <f>IF('1. Inputs'!$F106=0,"",'1. Inputs'!$F106)</f>
        <v/>
      </c>
      <c r="I210" s="41" t="str">
        <f>IF('1. Inputs'!$F106=0,"",'1. Inputs'!$F106)</f>
        <v/>
      </c>
      <c r="J210" s="41" t="str">
        <f>IF('1. Inputs'!$F106=0,"",'1. Inputs'!$F106)</f>
        <v/>
      </c>
      <c r="K210" s="41" t="str">
        <f>IF('1. Inputs'!$F106=0,"",'1. Inputs'!$F106)</f>
        <v/>
      </c>
      <c r="L210" s="41" t="str">
        <f>IF('1. Inputs'!$F106=0,"",'1. Inputs'!$F106)</f>
        <v/>
      </c>
      <c r="M210" s="41" t="str">
        <f>IF('1. Inputs'!$F106=0,"",'1. Inputs'!$F106)</f>
        <v/>
      </c>
    </row>
    <row r="211" spans="2:13">
      <c r="B211" s="162" t="s">
        <v>217</v>
      </c>
      <c r="C211" s="140"/>
      <c r="D211" s="41" t="str">
        <f>IF('1. Inputs'!$F107=0,"",'1. Inputs'!$F107)</f>
        <v/>
      </c>
      <c r="E211" s="41"/>
      <c r="F211" s="41"/>
      <c r="G211" s="41"/>
      <c r="H211" s="41"/>
      <c r="I211" s="41"/>
      <c r="J211" s="41"/>
      <c r="K211" s="41"/>
      <c r="L211" s="41"/>
      <c r="M211" s="41"/>
    </row>
    <row r="212" spans="2:13">
      <c r="B212" s="140" t="s">
        <v>176</v>
      </c>
      <c r="C212" s="140"/>
      <c r="D212" s="41" t="str">
        <f>IF('1. Inputs'!$F108=0,"",'1. Inputs'!$F108)</f>
        <v/>
      </c>
      <c r="E212" s="41"/>
      <c r="F212" s="41"/>
      <c r="G212" s="41"/>
      <c r="H212" s="41"/>
      <c r="I212" s="41"/>
      <c r="J212" s="41"/>
      <c r="K212" s="41"/>
      <c r="L212" s="41"/>
      <c r="M212" s="41"/>
    </row>
    <row r="213" spans="2:13">
      <c r="B213" s="140" t="s">
        <v>125</v>
      </c>
      <c r="C213" s="140"/>
      <c r="D213" s="41">
        <f>IF('1. Inputs'!$F$35=0,"",'1. Inputs'!$F$35*0.2)</f>
        <v>100</v>
      </c>
      <c r="E213" s="41">
        <f>IF('1. Inputs'!$F$35=0,"",'1. Inputs'!$F$35*0.2)</f>
        <v>100</v>
      </c>
      <c r="F213" s="41">
        <f>IF('1. Inputs'!$F$35=0,"",'1. Inputs'!$F$35*0.2)</f>
        <v>100</v>
      </c>
      <c r="G213" s="41"/>
      <c r="H213" s="41"/>
      <c r="I213" s="41"/>
      <c r="J213" s="41"/>
      <c r="K213" s="41"/>
      <c r="L213" s="41"/>
      <c r="M213" s="41"/>
    </row>
    <row r="214" spans="2:13">
      <c r="B214" s="43" t="s">
        <v>126</v>
      </c>
      <c r="C214" s="43"/>
      <c r="D214" s="44">
        <f>IF('1. Inputs'!$F$32=0,"",'1. Inputs'!$F$32*0.2)</f>
        <v>80</v>
      </c>
      <c r="E214" s="44">
        <f>IF('1. Inputs'!$F$32=0,"",'1. Inputs'!$F$32*0.2)</f>
        <v>80</v>
      </c>
      <c r="F214" s="44">
        <f>IF('1. Inputs'!$F$32=0,"",'1. Inputs'!$F$32*0.2)</f>
        <v>80</v>
      </c>
      <c r="G214" s="44"/>
      <c r="H214" s="44"/>
      <c r="I214" s="44" t="str">
        <f>IF('1. Inputs'!$F162=0,"",'1. Inputs'!$F162*0.2)</f>
        <v/>
      </c>
      <c r="J214" s="44" t="str">
        <f>IF('1. Inputs'!$F162=0,"",'1. Inputs'!$F162*0.2)</f>
        <v/>
      </c>
      <c r="K214" s="44" t="str">
        <f>IF('1. Inputs'!$F162=0,"",'1. Inputs'!$F162*0.2)</f>
        <v/>
      </c>
      <c r="L214" s="44"/>
      <c r="M214" s="44"/>
    </row>
    <row r="215" spans="2:13">
      <c r="B215" s="261" t="s">
        <v>0</v>
      </c>
      <c r="C215" s="261"/>
      <c r="D215" s="41">
        <f>IF('1. Inputs'!$F31=0,"",'1. Inputs'!$F31)</f>
        <v>400</v>
      </c>
      <c r="E215" s="41">
        <f>IF('1. Inputs'!$F31=0,"",'1. Inputs'!$F31)</f>
        <v>400</v>
      </c>
      <c r="F215" s="41">
        <f>IF('1. Inputs'!$F31=0,"",'1. Inputs'!$F31)</f>
        <v>400</v>
      </c>
      <c r="G215" s="41">
        <f>IF('1. Inputs'!$F31=0,"",'1. Inputs'!$F31)</f>
        <v>400</v>
      </c>
      <c r="H215" s="41">
        <f>IF('1. Inputs'!$F31=0,"",'1. Inputs'!$F31)</f>
        <v>400</v>
      </c>
      <c r="I215" s="41">
        <f>IF('1. Inputs'!$F31=0,"",'1. Inputs'!$F31)</f>
        <v>400</v>
      </c>
      <c r="J215" s="41">
        <f>IF('1. Inputs'!$F31=0,"",'1. Inputs'!$F31)</f>
        <v>400</v>
      </c>
      <c r="K215" s="41">
        <f>IF('1. Inputs'!$F31=0,"",'1. Inputs'!$F31)</f>
        <v>400</v>
      </c>
      <c r="L215" s="41">
        <f>IF('1. Inputs'!$F31=0,"",'1. Inputs'!$F31)</f>
        <v>400</v>
      </c>
      <c r="M215" s="41">
        <f>IF('1. Inputs'!$F31=0,"",'1. Inputs'!$F31)</f>
        <v>400</v>
      </c>
    </row>
    <row r="216" spans="2:13">
      <c r="B216" s="261" t="s">
        <v>7</v>
      </c>
      <c r="C216" s="261"/>
      <c r="D216" s="41">
        <f>IF('1. Inputs'!$F32=0,"",'1. Inputs'!$F32)</f>
        <v>400</v>
      </c>
      <c r="E216" s="41">
        <f>IF('1. Inputs'!$F32=0,"",'1. Inputs'!$F32)</f>
        <v>400</v>
      </c>
      <c r="F216" s="41">
        <f>IF('1. Inputs'!$F32=0,"",'1. Inputs'!$F32)</f>
        <v>400</v>
      </c>
      <c r="G216" s="41">
        <f>IF('1. Inputs'!$F32=0,"",'1. Inputs'!$F32)</f>
        <v>400</v>
      </c>
      <c r="H216" s="41">
        <f>IF('1. Inputs'!$F32=0,"",'1. Inputs'!$F32)</f>
        <v>400</v>
      </c>
      <c r="I216" s="41">
        <f>IF('1. Inputs'!$F32=0,"",'1. Inputs'!$F32)</f>
        <v>400</v>
      </c>
      <c r="J216" s="41">
        <f>IF('1. Inputs'!$F32=0,"",'1. Inputs'!$F32)</f>
        <v>400</v>
      </c>
      <c r="K216" s="41">
        <f>IF('1. Inputs'!$F32=0,"",'1. Inputs'!$F32)</f>
        <v>400</v>
      </c>
      <c r="L216" s="41">
        <f>IF('1. Inputs'!$F32=0,"",'1. Inputs'!$F32)</f>
        <v>400</v>
      </c>
      <c r="M216" s="41">
        <f>IF('1. Inputs'!$F32=0,"",'1. Inputs'!$F32)</f>
        <v>400</v>
      </c>
    </row>
    <row r="217" spans="2:13">
      <c r="B217" s="261" t="s">
        <v>8</v>
      </c>
      <c r="C217" s="261"/>
      <c r="D217" s="41">
        <f>IF('1. Inputs'!$F33=0,"",'1. Inputs'!$F33)</f>
        <v>400</v>
      </c>
      <c r="E217" s="41">
        <f>IF('1. Inputs'!$F33=0,"",'1. Inputs'!$F33)</f>
        <v>400</v>
      </c>
      <c r="F217" s="41">
        <f>IF('1. Inputs'!$F33=0,"",'1. Inputs'!$F33)</f>
        <v>400</v>
      </c>
      <c r="G217" s="41">
        <f>IF('1. Inputs'!$F33=0,"",'1. Inputs'!$F33)</f>
        <v>400</v>
      </c>
      <c r="H217" s="41">
        <f>IF('1. Inputs'!$F33=0,"",'1. Inputs'!$F33)</f>
        <v>400</v>
      </c>
      <c r="I217" s="41">
        <f>IF('1. Inputs'!$F33=0,"",'1. Inputs'!$F33)</f>
        <v>400</v>
      </c>
      <c r="J217" s="41">
        <f>IF('1. Inputs'!$F33=0,"",'1. Inputs'!$F33)</f>
        <v>400</v>
      </c>
      <c r="K217" s="41">
        <f>IF('1. Inputs'!$F33=0,"",'1. Inputs'!$F33)</f>
        <v>400</v>
      </c>
      <c r="L217" s="41">
        <f>IF('1. Inputs'!$F33=0,"",'1. Inputs'!$F33)</f>
        <v>400</v>
      </c>
      <c r="M217" s="41">
        <f>IF('1. Inputs'!$F33=0,"",'1. Inputs'!$F33)</f>
        <v>400</v>
      </c>
    </row>
    <row r="218" spans="2:13">
      <c r="B218" s="261" t="s">
        <v>9</v>
      </c>
      <c r="C218" s="261"/>
      <c r="D218" s="41">
        <f>IF('1. Inputs'!$F34=0,"",'1. Inputs'!$F34)</f>
        <v>100</v>
      </c>
      <c r="E218" s="41">
        <f>IF('1. Inputs'!$F34=0,"",'1. Inputs'!$F34)</f>
        <v>100</v>
      </c>
      <c r="F218" s="41">
        <f>IF('1. Inputs'!$F34=0,"",'1. Inputs'!$F34)</f>
        <v>100</v>
      </c>
      <c r="G218" s="41">
        <f>IF('1. Inputs'!$F34=0,"",'1. Inputs'!$F34)</f>
        <v>100</v>
      </c>
      <c r="H218" s="41">
        <f>IF('1. Inputs'!$F34=0,"",'1. Inputs'!$F34)</f>
        <v>100</v>
      </c>
      <c r="I218" s="41">
        <f>IF('1. Inputs'!$F34=0,"",'1. Inputs'!$F34)</f>
        <v>100</v>
      </c>
      <c r="J218" s="41">
        <f>IF('1. Inputs'!$F34=0,"",'1. Inputs'!$F34)</f>
        <v>100</v>
      </c>
      <c r="K218" s="41">
        <f>IF('1. Inputs'!$F34=0,"",'1. Inputs'!$F34)</f>
        <v>100</v>
      </c>
      <c r="L218" s="41">
        <f>IF('1. Inputs'!$F34=0,"",'1. Inputs'!$F34)</f>
        <v>100</v>
      </c>
      <c r="M218" s="41">
        <f>IF('1. Inputs'!$F34=0,"",'1. Inputs'!$F34)</f>
        <v>100</v>
      </c>
    </row>
    <row r="219" spans="2:13">
      <c r="B219" s="261" t="s">
        <v>32</v>
      </c>
      <c r="C219" s="261"/>
      <c r="D219" s="41">
        <f>IF('1. Inputs'!$F35=0,"",'1. Inputs'!$F35)</f>
        <v>500</v>
      </c>
      <c r="E219" s="41">
        <f>IF('1. Inputs'!$F35=0,"",'1. Inputs'!$F35)</f>
        <v>500</v>
      </c>
      <c r="F219" s="41">
        <f>IF('1. Inputs'!$F35=0,"",'1. Inputs'!$F35)</f>
        <v>500</v>
      </c>
      <c r="G219" s="41">
        <f>IF('1. Inputs'!$F35=0,"",'1. Inputs'!$F35)</f>
        <v>500</v>
      </c>
      <c r="H219" s="41">
        <f>IF('1. Inputs'!$F35=0,"",'1. Inputs'!$F35)</f>
        <v>500</v>
      </c>
      <c r="I219" s="41">
        <f>IF('1. Inputs'!$F35=0,"",'1. Inputs'!$F35)</f>
        <v>500</v>
      </c>
      <c r="J219" s="41">
        <f>IF('1. Inputs'!$F35=0,"",'1. Inputs'!$F35)</f>
        <v>500</v>
      </c>
      <c r="K219" s="41">
        <f>IF('1. Inputs'!$F35=0,"",'1. Inputs'!$F35)</f>
        <v>500</v>
      </c>
      <c r="L219" s="41">
        <f>IF('1. Inputs'!$F35=0,"",'1. Inputs'!$F35)</f>
        <v>500</v>
      </c>
      <c r="M219" s="41">
        <f>IF('1. Inputs'!$F35=0,"",'1. Inputs'!$F35)</f>
        <v>500</v>
      </c>
    </row>
    <row r="220" spans="2:13">
      <c r="B220" s="261" t="s">
        <v>33</v>
      </c>
      <c r="C220" s="261"/>
      <c r="D220" s="41"/>
      <c r="E220" s="41">
        <f>IF('1. Inputs'!$F36=0,"",'1. Inputs'!$F36)</f>
        <v>250</v>
      </c>
      <c r="F220" s="41">
        <f>IF('1. Inputs'!$F36=0,"",'1. Inputs'!$F36)</f>
        <v>250</v>
      </c>
      <c r="G220" s="41">
        <f>IF('1. Inputs'!$F36=0,"",'1. Inputs'!$F36)</f>
        <v>250</v>
      </c>
      <c r="H220" s="41">
        <f>IF('1. Inputs'!$F36=0,"",'1. Inputs'!$F36)</f>
        <v>250</v>
      </c>
      <c r="I220" s="41">
        <f>IF('1. Inputs'!$F36=0,"",'1. Inputs'!$F36)</f>
        <v>250</v>
      </c>
      <c r="J220" s="41">
        <f>IF('1. Inputs'!$F36=0,"",'1. Inputs'!$F36)</f>
        <v>250</v>
      </c>
      <c r="K220" s="41">
        <f>IF('1. Inputs'!$F36=0,"",'1. Inputs'!$F36)</f>
        <v>250</v>
      </c>
      <c r="L220" s="41">
        <f>IF('1. Inputs'!$F36=0,"",'1. Inputs'!$F36)</f>
        <v>250</v>
      </c>
      <c r="M220" s="41">
        <f>IF('1. Inputs'!$F36=0,"",'1. Inputs'!$F36)</f>
        <v>250</v>
      </c>
    </row>
    <row r="221" spans="2:13">
      <c r="B221" s="261" t="s">
        <v>12</v>
      </c>
      <c r="C221" s="261"/>
      <c r="D221" s="41">
        <f>IF('1. Inputs'!$F37=0,"",'1. Inputs'!$F37)</f>
        <v>400</v>
      </c>
      <c r="E221" s="41">
        <f>IF('1. Inputs'!$F37=0,"",'1. Inputs'!$F37)</f>
        <v>400</v>
      </c>
      <c r="F221" s="41">
        <f>IF('1. Inputs'!$F37=0,"",'1. Inputs'!$F37)</f>
        <v>400</v>
      </c>
      <c r="G221" s="41">
        <f>IF('1. Inputs'!$F37=0,"",'1. Inputs'!$F37)</f>
        <v>400</v>
      </c>
      <c r="H221" s="41">
        <f>IF('1. Inputs'!$F37=0,"",'1. Inputs'!$F37)</f>
        <v>400</v>
      </c>
      <c r="I221" s="41">
        <f>IF('1. Inputs'!$F37=0,"",'1. Inputs'!$F37)</f>
        <v>400</v>
      </c>
      <c r="J221" s="41">
        <f>IF('1. Inputs'!$F37=0,"",'1. Inputs'!$F37)</f>
        <v>400</v>
      </c>
      <c r="K221" s="41">
        <f>IF('1. Inputs'!$F37=0,"",'1. Inputs'!$F37)</f>
        <v>400</v>
      </c>
      <c r="L221" s="41">
        <f>IF('1. Inputs'!$F37=0,"",'1. Inputs'!$F37)</f>
        <v>400</v>
      </c>
      <c r="M221" s="41">
        <f>IF('1. Inputs'!$F37=0,"",'1. Inputs'!$F37)</f>
        <v>400</v>
      </c>
    </row>
    <row r="222" spans="2:13">
      <c r="B222" s="261" t="s">
        <v>165</v>
      </c>
      <c r="C222" s="261"/>
      <c r="D222" s="41">
        <f>IF('1. Inputs'!$F38=0,"",'1. Inputs'!$F38)</f>
        <v>100</v>
      </c>
      <c r="E222" s="41">
        <f>IF('1. Inputs'!$F38=0,"",'1. Inputs'!$F38)</f>
        <v>100</v>
      </c>
      <c r="F222" s="41">
        <f>IF('1. Inputs'!$F38=0,"",'1. Inputs'!$F38)</f>
        <v>100</v>
      </c>
      <c r="G222" s="41">
        <f>IF('1. Inputs'!$F38=0,"",'1. Inputs'!$F38)</f>
        <v>100</v>
      </c>
      <c r="H222" s="41">
        <f>IF('1. Inputs'!$F38=0,"",'1. Inputs'!$F38)</f>
        <v>100</v>
      </c>
      <c r="I222" s="41">
        <f>IF('1. Inputs'!$F38=0,"",'1. Inputs'!$F38)</f>
        <v>100</v>
      </c>
      <c r="J222" s="41">
        <f>IF('1. Inputs'!$F38=0,"",'1. Inputs'!$F38)</f>
        <v>100</v>
      </c>
      <c r="K222" s="41">
        <f>IF('1. Inputs'!$F38=0,"",'1. Inputs'!$F38)</f>
        <v>100</v>
      </c>
      <c r="L222" s="41">
        <f>IF('1. Inputs'!$F38=0,"",'1. Inputs'!$F38)</f>
        <v>100</v>
      </c>
      <c r="M222" s="41">
        <f>IF('1. Inputs'!$F38=0,"",'1. Inputs'!$F38)</f>
        <v>100</v>
      </c>
    </row>
    <row r="223" spans="2:13">
      <c r="B223" s="261" t="s">
        <v>14</v>
      </c>
      <c r="C223" s="261"/>
      <c r="D223" s="41">
        <f>IF('1. Inputs'!$F39=0,"",'1. Inputs'!$F39)</f>
        <v>150</v>
      </c>
      <c r="E223" s="41">
        <f>IF('1. Inputs'!$F39=0,"",'1. Inputs'!$F39)</f>
        <v>150</v>
      </c>
      <c r="F223" s="41">
        <f>IF('1. Inputs'!$F39=0,"",'1. Inputs'!$F39)</f>
        <v>150</v>
      </c>
      <c r="G223" s="41">
        <f>IF('1. Inputs'!$F39=0,"",'1. Inputs'!$F39)</f>
        <v>150</v>
      </c>
      <c r="H223" s="41">
        <f>IF('1. Inputs'!$F39=0,"",'1. Inputs'!$F39)</f>
        <v>150</v>
      </c>
      <c r="I223" s="41">
        <f>IF('1. Inputs'!$F39=0,"",'1. Inputs'!$F39)</f>
        <v>150</v>
      </c>
      <c r="J223" s="41">
        <f>IF('1. Inputs'!$F39=0,"",'1. Inputs'!$F39)</f>
        <v>150</v>
      </c>
      <c r="K223" s="41">
        <f>IF('1. Inputs'!$F39=0,"",'1. Inputs'!$F39)</f>
        <v>150</v>
      </c>
      <c r="L223" s="41">
        <f>IF('1. Inputs'!$F39=0,"",'1. Inputs'!$F39)</f>
        <v>150</v>
      </c>
      <c r="M223" s="41">
        <f>IF('1. Inputs'!$F39=0,"",'1. Inputs'!$F39)</f>
        <v>150</v>
      </c>
    </row>
    <row r="224" spans="2:13">
      <c r="B224" s="261" t="s">
        <v>13</v>
      </c>
      <c r="C224" s="261"/>
      <c r="D224" s="41">
        <f>IF('1. Inputs'!$F40=0,"",'1. Inputs'!$F40)</f>
        <v>500</v>
      </c>
      <c r="E224" s="41">
        <f>IF('1. Inputs'!$F40=0,"",'1. Inputs'!$F40)</f>
        <v>500</v>
      </c>
      <c r="F224" s="41">
        <f>IF('1. Inputs'!$F40=0,"",'1. Inputs'!$F40)</f>
        <v>500</v>
      </c>
      <c r="G224" s="41">
        <f>IF('1. Inputs'!$F40=0,"",'1. Inputs'!$F40)</f>
        <v>500</v>
      </c>
      <c r="H224" s="41">
        <f>IF('1. Inputs'!$F40=0,"",'1. Inputs'!$F40)</f>
        <v>500</v>
      </c>
      <c r="I224" s="41">
        <f>IF('1. Inputs'!$F40=0,"",'1. Inputs'!$F40)</f>
        <v>500</v>
      </c>
      <c r="J224" s="41">
        <f>IF('1. Inputs'!$F40=0,"",'1. Inputs'!$F40)</f>
        <v>500</v>
      </c>
      <c r="K224" s="41">
        <f>IF('1. Inputs'!$F40=0,"",'1. Inputs'!$F40)</f>
        <v>500</v>
      </c>
      <c r="L224" s="41">
        <f>IF('1. Inputs'!$F40=0,"",'1. Inputs'!$F40)</f>
        <v>500</v>
      </c>
      <c r="M224" s="41">
        <f>IF('1. Inputs'!$F40=0,"",'1. Inputs'!$F40)</f>
        <v>500</v>
      </c>
    </row>
    <row r="225" spans="2:13">
      <c r="B225" s="261" t="s">
        <v>19</v>
      </c>
      <c r="C225" s="261"/>
      <c r="D225" s="41"/>
      <c r="E225" s="41">
        <f>IF('1. Inputs'!$F41=0,"",'1. Inputs'!$F41)</f>
        <v>250</v>
      </c>
      <c r="F225" s="41">
        <f>IF('1. Inputs'!$F41=0,"",'1. Inputs'!$F41)</f>
        <v>250</v>
      </c>
      <c r="G225" s="41">
        <f>IF('1. Inputs'!$F41=0,"",'1. Inputs'!$F41)</f>
        <v>250</v>
      </c>
      <c r="H225" s="41">
        <f>IF('1. Inputs'!$F41=0,"",'1. Inputs'!$F41)</f>
        <v>250</v>
      </c>
      <c r="I225" s="41">
        <f>IF('1. Inputs'!$F41=0,"",'1. Inputs'!$F41)</f>
        <v>250</v>
      </c>
      <c r="J225" s="41">
        <f>IF('1. Inputs'!$F41=0,"",'1. Inputs'!$F41)</f>
        <v>250</v>
      </c>
      <c r="K225" s="41">
        <f>IF('1. Inputs'!$F41=0,"",'1. Inputs'!$F41)</f>
        <v>250</v>
      </c>
      <c r="L225" s="41">
        <f>IF('1. Inputs'!$F41=0,"",'1. Inputs'!$F41)</f>
        <v>250</v>
      </c>
      <c r="M225" s="41">
        <f>IF('1. Inputs'!$F41=0,"",'1. Inputs'!$F41)</f>
        <v>250</v>
      </c>
    </row>
    <row r="226" spans="2:13">
      <c r="B226" s="261" t="s">
        <v>166</v>
      </c>
      <c r="C226" s="261"/>
      <c r="D226" s="41">
        <f>IF('1. Inputs'!$F42=0,"",'1. Inputs'!$F42)</f>
        <v>100</v>
      </c>
      <c r="E226" s="41">
        <f>IF('1. Inputs'!$F42=0,"",'1. Inputs'!$F42)</f>
        <v>100</v>
      </c>
      <c r="F226" s="41">
        <f>IF('1. Inputs'!$F42=0,"",'1. Inputs'!$F42)</f>
        <v>100</v>
      </c>
      <c r="G226" s="41">
        <f>IF('1. Inputs'!$F42=0,"",'1. Inputs'!$F42)</f>
        <v>100</v>
      </c>
      <c r="H226" s="41">
        <f>IF('1. Inputs'!$F42=0,"",'1. Inputs'!$F42)</f>
        <v>100</v>
      </c>
      <c r="I226" s="41">
        <f>IF('1. Inputs'!$F42=0,"",'1. Inputs'!$F42)</f>
        <v>100</v>
      </c>
      <c r="J226" s="41">
        <f>IF('1. Inputs'!$F42=0,"",'1. Inputs'!$F42)</f>
        <v>100</v>
      </c>
      <c r="K226" s="41">
        <f>IF('1. Inputs'!$F42=0,"",'1. Inputs'!$F42)</f>
        <v>100</v>
      </c>
      <c r="L226" s="41">
        <f>IF('1. Inputs'!$F42=0,"",'1. Inputs'!$F42)</f>
        <v>100</v>
      </c>
      <c r="M226" s="41">
        <f>IF('1. Inputs'!$F42=0,"",'1. Inputs'!$F42)</f>
        <v>100</v>
      </c>
    </row>
    <row r="227" spans="2:13">
      <c r="B227" s="261" t="s">
        <v>20</v>
      </c>
      <c r="C227" s="261"/>
      <c r="D227" s="41"/>
      <c r="E227" s="41"/>
      <c r="F227" s="41">
        <f>IF('1. Inputs'!$F43=0,"",'1. Inputs'!$F43)</f>
        <v>100</v>
      </c>
      <c r="G227" s="41">
        <f>IF('1. Inputs'!$F43=0,"",'1. Inputs'!$F43)</f>
        <v>100</v>
      </c>
      <c r="H227" s="41">
        <f>IF('1. Inputs'!$F43=0,"",'1. Inputs'!$F43)</f>
        <v>100</v>
      </c>
      <c r="I227" s="41">
        <f>IF('1. Inputs'!$F43=0,"",'1. Inputs'!$F43)</f>
        <v>100</v>
      </c>
      <c r="J227" s="41">
        <f>IF('1. Inputs'!$F43=0,"",'1. Inputs'!$F43)</f>
        <v>100</v>
      </c>
      <c r="K227" s="41">
        <f>IF('1. Inputs'!$F43=0,"",'1. Inputs'!$F43)</f>
        <v>100</v>
      </c>
      <c r="L227" s="41">
        <f>IF('1. Inputs'!$F43=0,"",'1. Inputs'!$F43)</f>
        <v>100</v>
      </c>
      <c r="M227" s="41">
        <f>IF('1. Inputs'!$F43=0,"",'1. Inputs'!$F43)</f>
        <v>100</v>
      </c>
    </row>
    <row r="228" spans="2:13">
      <c r="B228" s="261" t="s">
        <v>21</v>
      </c>
      <c r="C228" s="261"/>
      <c r="D228" s="41"/>
      <c r="E228" s="41">
        <f>IF('1. Inputs'!$F44=0,"",'1. Inputs'!$F44)</f>
        <v>20</v>
      </c>
      <c r="F228" s="41">
        <f>IF('1. Inputs'!$F44=0,"",'1. Inputs'!$F44)</f>
        <v>20</v>
      </c>
      <c r="G228" s="41">
        <f>IF('1. Inputs'!$F44=0,"",'1. Inputs'!$F44)</f>
        <v>20</v>
      </c>
      <c r="H228" s="41">
        <f>IF('1. Inputs'!$F44=0,"",'1. Inputs'!$F44)</f>
        <v>20</v>
      </c>
      <c r="I228" s="41">
        <f>IF('1. Inputs'!$F44=0,"",'1. Inputs'!$F44)</f>
        <v>20</v>
      </c>
      <c r="J228" s="41">
        <f>IF('1. Inputs'!$F44=0,"",'1. Inputs'!$F44)</f>
        <v>20</v>
      </c>
      <c r="K228" s="41">
        <f>IF('1. Inputs'!$F44=0,"",'1. Inputs'!$F44)</f>
        <v>20</v>
      </c>
      <c r="L228" s="41">
        <f>IF('1. Inputs'!$F44=0,"",'1. Inputs'!$F44)</f>
        <v>20</v>
      </c>
      <c r="M228" s="41">
        <f>IF('1. Inputs'!$F44=0,"",'1. Inputs'!$F44)</f>
        <v>20</v>
      </c>
    </row>
    <row r="229" spans="2:13">
      <c r="B229" s="261" t="s">
        <v>22</v>
      </c>
      <c r="C229" s="261"/>
      <c r="D229" s="41"/>
      <c r="E229" s="41">
        <f>IF('1. Inputs'!$F45=0,"",'1. Inputs'!$F45)</f>
        <v>50</v>
      </c>
      <c r="F229" s="41">
        <f>IF('1. Inputs'!$F45=0,"",'1. Inputs'!$F45)</f>
        <v>50</v>
      </c>
      <c r="G229" s="41">
        <f>IF('1. Inputs'!$F45=0,"",'1. Inputs'!$F45)</f>
        <v>50</v>
      </c>
      <c r="H229" s="41">
        <f>IF('1. Inputs'!$F45=0,"",'1. Inputs'!$F45)</f>
        <v>50</v>
      </c>
      <c r="I229" s="41">
        <f>IF('1. Inputs'!$F45=0,"",'1. Inputs'!$F45)</f>
        <v>50</v>
      </c>
      <c r="J229" s="41">
        <f>IF('1. Inputs'!$F45=0,"",'1. Inputs'!$F45)</f>
        <v>50</v>
      </c>
      <c r="K229" s="41">
        <f>IF('1. Inputs'!$F45=0,"",'1. Inputs'!$F45)</f>
        <v>50</v>
      </c>
      <c r="L229" s="41">
        <f>IF('1. Inputs'!$F45=0,"",'1. Inputs'!$F45)</f>
        <v>50</v>
      </c>
      <c r="M229" s="41">
        <f>IF('1. Inputs'!$F45=0,"",'1. Inputs'!$F45)</f>
        <v>50</v>
      </c>
    </row>
    <row r="230" spans="2:13">
      <c r="B230" s="261" t="s">
        <v>167</v>
      </c>
      <c r="C230" s="261"/>
      <c r="D230" s="41" t="str">
        <f>IF('1. Inputs'!$F46=0,"",'1. Inputs'!$F46)</f>
        <v/>
      </c>
      <c r="E230" s="41" t="str">
        <f>IF('1. Inputs'!$F46=0,"",'1. Inputs'!$F46)</f>
        <v/>
      </c>
      <c r="F230" s="41" t="str">
        <f>IF('1. Inputs'!$F46=0,"",'1. Inputs'!$F46)</f>
        <v/>
      </c>
      <c r="G230" s="41" t="str">
        <f>IF('1. Inputs'!$F46=0,"",'1. Inputs'!$F46)</f>
        <v/>
      </c>
      <c r="H230" s="41" t="str">
        <f>IF('1. Inputs'!$F46=0,"",'1. Inputs'!$F46)</f>
        <v/>
      </c>
      <c r="I230" s="41" t="str">
        <f>IF('1. Inputs'!$F46=0,"",'1. Inputs'!$F46)</f>
        <v/>
      </c>
      <c r="J230" s="41" t="str">
        <f>IF('1. Inputs'!$F46=0,"",'1. Inputs'!$F46)</f>
        <v/>
      </c>
      <c r="K230" s="41" t="str">
        <f>IF('1. Inputs'!$F46=0,"",'1. Inputs'!$F46)</f>
        <v/>
      </c>
      <c r="L230" s="41" t="str">
        <f>IF('1. Inputs'!$F46=0,"",'1. Inputs'!$F46)</f>
        <v/>
      </c>
      <c r="M230" s="41" t="str">
        <f>IF('1. Inputs'!$F46=0,"",'1. Inputs'!$F46)</f>
        <v/>
      </c>
    </row>
    <row r="231" spans="2:13">
      <c r="B231" s="261" t="s">
        <v>168</v>
      </c>
      <c r="C231" s="261"/>
      <c r="D231" s="41" t="str">
        <f>IF('1. Inputs'!$F47=0,"",'1. Inputs'!$F47)</f>
        <v/>
      </c>
      <c r="E231" s="41" t="str">
        <f>IF('1. Inputs'!$F47=0,"",'1. Inputs'!$F47)</f>
        <v/>
      </c>
      <c r="F231" s="41" t="str">
        <f>IF('1. Inputs'!$F47=0,"",'1. Inputs'!$F47)</f>
        <v/>
      </c>
      <c r="G231" s="41" t="str">
        <f>IF('1. Inputs'!$F47=0,"",'1. Inputs'!$F47)</f>
        <v/>
      </c>
      <c r="H231" s="41" t="str">
        <f>IF('1. Inputs'!$F47=0,"",'1. Inputs'!$F47)</f>
        <v/>
      </c>
      <c r="I231" s="41" t="str">
        <f>IF('1. Inputs'!$F47=0,"",'1. Inputs'!$F47)</f>
        <v/>
      </c>
      <c r="J231" s="41" t="str">
        <f>IF('1. Inputs'!$F47=0,"",'1. Inputs'!$F47)</f>
        <v/>
      </c>
      <c r="K231" s="41" t="str">
        <f>IF('1. Inputs'!$F47=0,"",'1. Inputs'!$F47)</f>
        <v/>
      </c>
      <c r="L231" s="41" t="str">
        <f>IF('1. Inputs'!$F47=0,"",'1. Inputs'!$F47)</f>
        <v/>
      </c>
      <c r="M231" s="41" t="str">
        <f>IF('1. Inputs'!$F47=0,"",'1. Inputs'!$F47)</f>
        <v/>
      </c>
    </row>
    <row r="232" spans="2:13">
      <c r="B232" s="262" t="s">
        <v>119</v>
      </c>
      <c r="C232" s="262"/>
      <c r="D232" s="42">
        <f>SUM(D203:D231)</f>
        <v>28857.03</v>
      </c>
      <c r="E232" s="42">
        <f t="shared" ref="E232:M232" si="84">SUM(E203:E231)</f>
        <v>3800</v>
      </c>
      <c r="F232" s="42">
        <f t="shared" si="84"/>
        <v>3900</v>
      </c>
      <c r="G232" s="42">
        <f t="shared" si="84"/>
        <v>3720</v>
      </c>
      <c r="H232" s="42">
        <f t="shared" si="84"/>
        <v>3720</v>
      </c>
      <c r="I232" s="42">
        <f t="shared" si="84"/>
        <v>3720</v>
      </c>
      <c r="J232" s="42">
        <f t="shared" si="84"/>
        <v>3720</v>
      </c>
      <c r="K232" s="42">
        <f t="shared" si="84"/>
        <v>3720</v>
      </c>
      <c r="L232" s="42">
        <f t="shared" si="84"/>
        <v>3720</v>
      </c>
      <c r="M232" s="42">
        <f t="shared" si="84"/>
        <v>3720</v>
      </c>
    </row>
    <row r="233" spans="2:13">
      <c r="B233" s="263" t="s">
        <v>121</v>
      </c>
      <c r="C233" s="263"/>
      <c r="D233" s="42">
        <f>SUM(D201, D232*-1)</f>
        <v>-28857.03</v>
      </c>
      <c r="E233" s="42">
        <f t="shared" ref="E233:M233" si="85">SUM(E201, E232*-1)</f>
        <v>1188.25</v>
      </c>
      <c r="F233" s="42">
        <f t="shared" si="85"/>
        <v>2751.0000000000009</v>
      </c>
      <c r="G233" s="42">
        <f t="shared" si="85"/>
        <v>6256.5</v>
      </c>
      <c r="H233" s="42">
        <f t="shared" si="85"/>
        <v>6256.5</v>
      </c>
      <c r="I233" s="42">
        <f t="shared" si="85"/>
        <v>6256.5</v>
      </c>
      <c r="J233" s="42">
        <f t="shared" si="85"/>
        <v>6256.5</v>
      </c>
      <c r="K233" s="42">
        <f t="shared" si="85"/>
        <v>6256.5</v>
      </c>
      <c r="L233" s="42">
        <f t="shared" si="85"/>
        <v>6256.5</v>
      </c>
      <c r="M233" s="42">
        <f t="shared" si="85"/>
        <v>6256.5</v>
      </c>
    </row>
    <row r="234" spans="2:13">
      <c r="B234" s="267" t="s">
        <v>122</v>
      </c>
      <c r="C234" s="267"/>
      <c r="D234" s="45">
        <f>D233</f>
        <v>-28857.03</v>
      </c>
      <c r="E234" s="45">
        <f>E233+D234</f>
        <v>-27668.78</v>
      </c>
      <c r="F234" s="45">
        <f t="shared" ref="F234" si="86">F233+E234</f>
        <v>-24917.78</v>
      </c>
      <c r="G234" s="45">
        <f t="shared" ref="G234" si="87">G233+F234</f>
        <v>-18661.28</v>
      </c>
      <c r="H234" s="45">
        <f t="shared" ref="H234" si="88">H233+G234</f>
        <v>-12404.779999999999</v>
      </c>
      <c r="I234" s="45">
        <f t="shared" ref="I234" si="89">I233+H234</f>
        <v>-6148.2799999999988</v>
      </c>
      <c r="J234" s="45">
        <f t="shared" ref="J234" si="90">J233+I234</f>
        <v>108.22000000000116</v>
      </c>
      <c r="K234" s="45">
        <f t="shared" ref="K234" si="91">K233+J234</f>
        <v>6364.7200000000012</v>
      </c>
      <c r="L234" s="45">
        <f t="shared" ref="L234" si="92">L233+K234</f>
        <v>12621.220000000001</v>
      </c>
      <c r="M234" s="45">
        <f>M233+L234</f>
        <v>18877.72</v>
      </c>
    </row>
    <row r="237" spans="2:13" ht="18.5">
      <c r="B237" s="19" t="s">
        <v>28</v>
      </c>
    </row>
    <row r="238" spans="2:13" ht="7" customHeight="1"/>
    <row r="239" spans="2:13" ht="15.5">
      <c r="B239" s="20" t="s">
        <v>97</v>
      </c>
      <c r="C239" s="33"/>
      <c r="D239" s="20" t="str">
        <f>"OFF-PATENT VARIETY:  "&amp;'1. Inputs'!E110</f>
        <v>OFF-PATENT VARIETY:  STEVENS</v>
      </c>
      <c r="F239" s="32"/>
    </row>
    <row r="240" spans="2:13">
      <c r="B240" s="260"/>
      <c r="C240" s="260"/>
      <c r="D240" s="137" t="s">
        <v>66</v>
      </c>
      <c r="E240" s="137" t="s">
        <v>57</v>
      </c>
      <c r="F240" s="137" t="s">
        <v>58</v>
      </c>
      <c r="G240" s="137" t="s">
        <v>59</v>
      </c>
      <c r="H240" s="137" t="s">
        <v>60</v>
      </c>
      <c r="I240" s="137" t="s">
        <v>61</v>
      </c>
      <c r="J240" s="137" t="s">
        <v>62</v>
      </c>
      <c r="K240" s="137" t="s">
        <v>63</v>
      </c>
      <c r="L240" s="137" t="s">
        <v>64</v>
      </c>
      <c r="M240" s="137" t="s">
        <v>65</v>
      </c>
    </row>
    <row r="241" spans="2:13">
      <c r="B241" s="264" t="s">
        <v>116</v>
      </c>
      <c r="C241" s="264"/>
      <c r="D241" s="28"/>
      <c r="E241" s="28"/>
      <c r="F241" s="28"/>
      <c r="G241" s="28"/>
      <c r="H241" s="28"/>
      <c r="I241" s="28"/>
      <c r="J241" s="28"/>
      <c r="K241" s="28"/>
      <c r="L241" s="28"/>
      <c r="M241" s="28"/>
    </row>
    <row r="242" spans="2:13">
      <c r="B242" s="265" t="s">
        <v>117</v>
      </c>
      <c r="C242" s="265"/>
      <c r="D242" s="40">
        <f>VLOOKUP('1. Inputs'!$E$110,'Variety Data'!$B$17:$L$21,2,FALSE)</f>
        <v>0</v>
      </c>
      <c r="E242" s="40">
        <f>VLOOKUP('1. Inputs'!$E$110,'Variety Data'!$B$17:$L$21,3,FALSE)</f>
        <v>100</v>
      </c>
      <c r="F242" s="40">
        <f>VLOOKUP('1. Inputs'!$E$110,'Variety Data'!$B$17:$L$21,4,FALSE)</f>
        <v>150</v>
      </c>
      <c r="G242" s="40">
        <f>VLOOKUP('1. Inputs'!$E$110,'Variety Data'!$B$17:$L$21,5,FALSE)</f>
        <v>200</v>
      </c>
      <c r="H242" s="40">
        <f>VLOOKUP('1. Inputs'!$E$110,'Variety Data'!$B$17:$L$21,6,FALSE)</f>
        <v>200</v>
      </c>
      <c r="I242" s="40">
        <f>VLOOKUP('1. Inputs'!$E$110,'Variety Data'!$B$17:$L$21,7,FALSE)</f>
        <v>200</v>
      </c>
      <c r="J242" s="40">
        <f>VLOOKUP('1. Inputs'!$E$110,'Variety Data'!$B$17:$L$21,8,FALSE)</f>
        <v>200</v>
      </c>
      <c r="K242" s="40">
        <f>VLOOKUP('1. Inputs'!$E$110,'Variety Data'!$B$17:$L$21,9,FALSE)</f>
        <v>200</v>
      </c>
      <c r="L242" s="40">
        <f>VLOOKUP('1. Inputs'!$E$110,'Variety Data'!$B$17:$L$21,10,FALSE)</f>
        <v>200</v>
      </c>
      <c r="M242" s="40">
        <f>VLOOKUP('1. Inputs'!$E$110,'Variety Data'!$B$17:$L$21,11,FALSE)</f>
        <v>200</v>
      </c>
    </row>
    <row r="243" spans="2:13">
      <c r="B243" s="139" t="str">
        <f>"Revenue @ $"&amp;ROUND('1. Inputs'!$H$23,2)&amp;" /bbl"</f>
        <v>Revenue @ $33.26 /bbl</v>
      </c>
      <c r="C243" s="139"/>
      <c r="D243" s="41" t="str">
        <f>IF('1. Inputs'!$H$23*D242=0,"",'1. Inputs'!$H$23*D242)</f>
        <v/>
      </c>
      <c r="E243" s="41">
        <f>IF('1. Inputs'!$H$23*E242=0,"",'1. Inputs'!$H$23*E242)</f>
        <v>3325.5000000000005</v>
      </c>
      <c r="F243" s="41">
        <f>IF('1. Inputs'!$H$23*F242=0,"",'1. Inputs'!$H$23*F242)</f>
        <v>4988.25</v>
      </c>
      <c r="G243" s="41">
        <f>IF('1. Inputs'!$H$23*G242=0,"",'1. Inputs'!$H$23*G242)</f>
        <v>6651.0000000000009</v>
      </c>
      <c r="H243" s="41">
        <f>IF('1. Inputs'!$H$23*H242=0,"",'1. Inputs'!$H$23*H242)</f>
        <v>6651.0000000000009</v>
      </c>
      <c r="I243" s="41">
        <f>IF('1. Inputs'!$H$23*I242=0,"",'1. Inputs'!$H$23*I242)</f>
        <v>6651.0000000000009</v>
      </c>
      <c r="J243" s="41">
        <f>IF('1. Inputs'!$H$23*J242=0,"",'1. Inputs'!$H$23*J242)</f>
        <v>6651.0000000000009</v>
      </c>
      <c r="K243" s="41">
        <f>IF('1. Inputs'!$H$23*K242=0,"",'1. Inputs'!$H$23*K242)</f>
        <v>6651.0000000000009</v>
      </c>
      <c r="L243" s="41">
        <f>IF('1. Inputs'!$H$23*L242=0,"",'1. Inputs'!$H$23*L242)</f>
        <v>6651.0000000000009</v>
      </c>
      <c r="M243" s="41">
        <f>IF('1. Inputs'!$H$23*M242=0,"",'1. Inputs'!$H$23*M242)</f>
        <v>6651.0000000000009</v>
      </c>
    </row>
    <row r="244" spans="2:13">
      <c r="B244" s="262" t="s">
        <v>120</v>
      </c>
      <c r="C244" s="262"/>
      <c r="D244" s="42" t="str">
        <f>D243</f>
        <v/>
      </c>
      <c r="E244" s="42">
        <f t="shared" ref="E244" si="93">E243</f>
        <v>3325.5000000000005</v>
      </c>
      <c r="F244" s="42">
        <f t="shared" ref="F244" si="94">F243</f>
        <v>4988.25</v>
      </c>
      <c r="G244" s="42">
        <f t="shared" ref="G244" si="95">G243</f>
        <v>6651.0000000000009</v>
      </c>
      <c r="H244" s="42">
        <f t="shared" ref="H244" si="96">H243</f>
        <v>6651.0000000000009</v>
      </c>
      <c r="I244" s="42">
        <f t="shared" ref="I244" si="97">I243</f>
        <v>6651.0000000000009</v>
      </c>
      <c r="J244" s="42">
        <f t="shared" ref="J244" si="98">J243</f>
        <v>6651.0000000000009</v>
      </c>
      <c r="K244" s="42">
        <f t="shared" ref="K244" si="99">K243</f>
        <v>6651.0000000000009</v>
      </c>
      <c r="L244" s="42">
        <f t="shared" ref="L244" si="100">L243</f>
        <v>6651.0000000000009</v>
      </c>
      <c r="M244" s="42">
        <f t="shared" ref="M244" si="101">M243</f>
        <v>6651.0000000000009</v>
      </c>
    </row>
    <row r="245" spans="2:13">
      <c r="B245" s="266" t="s">
        <v>118</v>
      </c>
      <c r="C245" s="266"/>
      <c r="D245" s="41"/>
      <c r="E245" s="41"/>
      <c r="F245" s="41"/>
      <c r="G245" s="41"/>
      <c r="H245" s="41"/>
      <c r="I245" s="41"/>
      <c r="J245" s="41"/>
      <c r="K245" s="41"/>
      <c r="L245" s="41"/>
      <c r="M245" s="41"/>
    </row>
    <row r="246" spans="2:13">
      <c r="B246" s="209" t="s">
        <v>18</v>
      </c>
      <c r="C246" s="209"/>
      <c r="D246" s="41">
        <f>IF('1. Inputs'!$F113=0,"",'1. Inputs'!$F113)</f>
        <v>2000</v>
      </c>
      <c r="E246" s="41"/>
      <c r="F246" s="41"/>
      <c r="G246" s="41"/>
      <c r="H246" s="41"/>
      <c r="I246" s="41"/>
      <c r="J246" s="41"/>
      <c r="K246" s="41"/>
      <c r="L246" s="41"/>
      <c r="M246" s="41"/>
    </row>
    <row r="247" spans="2:13">
      <c r="B247" s="209" t="s">
        <v>15</v>
      </c>
      <c r="C247" s="209"/>
      <c r="D247" s="41">
        <f>IF('1. Inputs'!$F114=0,"",'1. Inputs'!$F114)</f>
        <v>50</v>
      </c>
      <c r="E247" s="41"/>
      <c r="F247" s="41"/>
      <c r="G247" s="41"/>
      <c r="H247" s="41"/>
      <c r="I247" s="41"/>
      <c r="J247" s="41"/>
      <c r="K247" s="41"/>
      <c r="L247" s="41"/>
      <c r="M247" s="41"/>
    </row>
    <row r="248" spans="2:13">
      <c r="B248" s="209" t="s">
        <v>16</v>
      </c>
      <c r="C248" s="209"/>
      <c r="D248" s="41">
        <f>IF('1. Inputs'!$F115=0,"",'1. Inputs'!$F115)</f>
        <v>4000</v>
      </c>
      <c r="E248" s="41"/>
      <c r="F248" s="41"/>
      <c r="G248" s="41"/>
      <c r="H248" s="41"/>
      <c r="I248" s="41"/>
      <c r="J248" s="41"/>
      <c r="K248" s="41"/>
      <c r="L248" s="41"/>
      <c r="M248" s="41"/>
    </row>
    <row r="249" spans="2:13">
      <c r="B249" s="209" t="s">
        <v>123</v>
      </c>
      <c r="C249" s="209"/>
      <c r="D249" s="41">
        <f>IF('1. Inputs'!$F116=0,"",'1. Inputs'!$F116)</f>
        <v>500</v>
      </c>
      <c r="E249" s="41"/>
      <c r="F249" s="41"/>
      <c r="G249" s="41"/>
      <c r="H249" s="41"/>
      <c r="I249" s="41"/>
      <c r="J249" s="41"/>
      <c r="K249" s="41"/>
      <c r="L249" s="41"/>
      <c r="M249" s="41"/>
    </row>
    <row r="250" spans="2:13">
      <c r="B250" s="209" t="s">
        <v>81</v>
      </c>
      <c r="C250" s="209"/>
      <c r="D250" s="41">
        <f>IF('1. Inputs'!$F117=0,"",'1. Inputs'!$F117)</f>
        <v>140.625</v>
      </c>
      <c r="E250" s="41"/>
      <c r="F250" s="41"/>
      <c r="G250" s="41"/>
      <c r="H250" s="41"/>
      <c r="I250" s="41"/>
      <c r="J250" s="41"/>
      <c r="K250" s="41"/>
      <c r="L250" s="41"/>
      <c r="M250" s="41"/>
    </row>
    <row r="251" spans="2:13">
      <c r="B251" s="209" t="s">
        <v>82</v>
      </c>
      <c r="C251" s="209"/>
      <c r="D251" s="41">
        <f>IF('1. Inputs'!$F118=0,"",'1. Inputs'!$F118)</f>
        <v>703.125</v>
      </c>
      <c r="E251" s="41"/>
      <c r="F251" s="41"/>
      <c r="G251" s="41"/>
      <c r="H251" s="41"/>
      <c r="I251" s="41"/>
      <c r="J251" s="41"/>
      <c r="K251" s="41"/>
      <c r="L251" s="41"/>
      <c r="M251" s="41"/>
    </row>
    <row r="252" spans="2:13">
      <c r="B252" s="208" t="s">
        <v>99</v>
      </c>
      <c r="C252" s="209"/>
      <c r="D252" s="41">
        <f>IF('1. Inputs'!$F119=0,"",'1. Inputs'!$F119)</f>
        <v>2700</v>
      </c>
      <c r="E252" s="41"/>
      <c r="F252" s="41"/>
      <c r="G252" s="41"/>
      <c r="H252" s="41"/>
      <c r="I252" s="41"/>
      <c r="J252" s="41"/>
      <c r="K252" s="41"/>
      <c r="L252" s="41"/>
      <c r="M252" s="41"/>
    </row>
    <row r="253" spans="2:13">
      <c r="B253" s="210" t="s">
        <v>98</v>
      </c>
      <c r="C253" s="209"/>
      <c r="D253" s="41">
        <f>IF('1. Inputs'!$F120=0,"",'1. Inputs'!$F120)</f>
        <v>1575.0000000000002</v>
      </c>
      <c r="E253" s="41"/>
      <c r="F253" s="41"/>
      <c r="G253" s="41"/>
      <c r="H253" s="41"/>
      <c r="I253" s="41"/>
      <c r="J253" s="41"/>
      <c r="K253" s="41"/>
      <c r="L253" s="41"/>
      <c r="M253" s="41"/>
    </row>
    <row r="254" spans="2:13">
      <c r="B254" s="210" t="s">
        <v>17</v>
      </c>
      <c r="C254" s="209"/>
      <c r="D254" s="41">
        <f>IF('1. Inputs'!$F121=0,"",'1. Inputs'!$F121)</f>
        <v>1750</v>
      </c>
      <c r="E254" s="41"/>
      <c r="F254" s="41"/>
      <c r="G254" s="41"/>
      <c r="H254" s="41"/>
      <c r="I254" s="41"/>
      <c r="J254" s="41"/>
      <c r="K254" s="41"/>
      <c r="L254" s="41"/>
      <c r="M254" s="41"/>
    </row>
    <row r="255" spans="2:13">
      <c r="B255" s="209" t="s">
        <v>177</v>
      </c>
      <c r="C255" s="209"/>
      <c r="D255" s="41" t="str">
        <f>IF('1. Inputs'!$F122=0,"",'1. Inputs'!$F122)</f>
        <v/>
      </c>
      <c r="E255" s="41"/>
      <c r="F255" s="41"/>
      <c r="G255" s="41"/>
      <c r="H255" s="41"/>
      <c r="I255" s="41"/>
      <c r="J255" s="41"/>
      <c r="K255" s="41"/>
      <c r="L255" s="41"/>
      <c r="M255" s="41"/>
    </row>
    <row r="256" spans="2:13">
      <c r="B256" s="209" t="s">
        <v>178</v>
      </c>
      <c r="C256" s="209"/>
      <c r="D256" s="41" t="str">
        <f>IF('1. Inputs'!$F123=0,"",'1. Inputs'!$F123)</f>
        <v/>
      </c>
      <c r="E256" s="41"/>
      <c r="F256" s="41"/>
      <c r="G256" s="41"/>
      <c r="H256" s="41"/>
      <c r="I256" s="41"/>
      <c r="J256" s="41"/>
      <c r="K256" s="41"/>
      <c r="L256" s="41"/>
      <c r="M256" s="41"/>
    </row>
    <row r="257" spans="2:13">
      <c r="B257" s="209" t="s">
        <v>125</v>
      </c>
      <c r="C257" s="209"/>
      <c r="D257" s="41">
        <f>IF('1. Inputs'!$F$35=0,"",'1. Inputs'!$F$35*0.2)</f>
        <v>100</v>
      </c>
      <c r="E257" s="41">
        <f>IF('1. Inputs'!$F$35=0,"",'1. Inputs'!$F$35*0.2)</f>
        <v>100</v>
      </c>
      <c r="F257" s="41">
        <f>IF('1. Inputs'!$F$35=0,"",'1. Inputs'!$F$35*0.2)</f>
        <v>100</v>
      </c>
      <c r="G257" s="41"/>
      <c r="H257" s="41"/>
      <c r="I257" s="41"/>
      <c r="J257" s="41"/>
      <c r="K257" s="41"/>
      <c r="L257" s="41"/>
      <c r="M257" s="41"/>
    </row>
    <row r="258" spans="2:13">
      <c r="B258" s="43" t="s">
        <v>126</v>
      </c>
      <c r="C258" s="43"/>
      <c r="D258" s="44">
        <f>IF('1. Inputs'!$F$32=0,"",'1. Inputs'!$F$32*0.2)</f>
        <v>80</v>
      </c>
      <c r="E258" s="44">
        <f>IF('1. Inputs'!$F$32=0,"",'1. Inputs'!$F$32*0.2)</f>
        <v>80</v>
      </c>
      <c r="F258" s="44">
        <f>IF('1. Inputs'!$F$32=0,"",'1. Inputs'!$F$32*0.2)</f>
        <v>80</v>
      </c>
      <c r="G258" s="44"/>
      <c r="H258" s="44"/>
      <c r="I258" s="44" t="str">
        <f>IF('1. Inputs'!$F205=0,"",'1. Inputs'!$F205*0.2)</f>
        <v/>
      </c>
      <c r="J258" s="44" t="str">
        <f>IF('1. Inputs'!$F205=0,"",'1. Inputs'!$F205*0.2)</f>
        <v/>
      </c>
      <c r="K258" s="44" t="str">
        <f>IF('1. Inputs'!$F205=0,"",'1. Inputs'!$F205*0.2)</f>
        <v/>
      </c>
      <c r="L258" s="44"/>
      <c r="M258" s="44"/>
    </row>
    <row r="259" spans="2:13">
      <c r="B259" s="261" t="s">
        <v>0</v>
      </c>
      <c r="C259" s="261"/>
      <c r="D259" s="41">
        <f>IF('1. Inputs'!$F31=0,"",'1. Inputs'!$F31)</f>
        <v>400</v>
      </c>
      <c r="E259" s="41">
        <f>IF('1. Inputs'!$F31=0,"",'1. Inputs'!$F31)</f>
        <v>400</v>
      </c>
      <c r="F259" s="41">
        <f>IF('1. Inputs'!$F31=0,"",'1. Inputs'!$F31)</f>
        <v>400</v>
      </c>
      <c r="G259" s="41">
        <f>IF('1. Inputs'!$F31=0,"",'1. Inputs'!$F31)</f>
        <v>400</v>
      </c>
      <c r="H259" s="41">
        <f>IF('1. Inputs'!$F31=0,"",'1. Inputs'!$F31)</f>
        <v>400</v>
      </c>
      <c r="I259" s="41">
        <f>IF('1. Inputs'!$F31=0,"",'1. Inputs'!$F31)</f>
        <v>400</v>
      </c>
      <c r="J259" s="41">
        <f>IF('1. Inputs'!$F31=0,"",'1. Inputs'!$F31)</f>
        <v>400</v>
      </c>
      <c r="K259" s="41">
        <f>IF('1. Inputs'!$F31=0,"",'1. Inputs'!$F31)</f>
        <v>400</v>
      </c>
      <c r="L259" s="41">
        <f>IF('1. Inputs'!$F31=0,"",'1. Inputs'!$F31)</f>
        <v>400</v>
      </c>
      <c r="M259" s="41">
        <f>IF('1. Inputs'!$F31=0,"",'1. Inputs'!$F31)</f>
        <v>400</v>
      </c>
    </row>
    <row r="260" spans="2:13">
      <c r="B260" s="261" t="s">
        <v>7</v>
      </c>
      <c r="C260" s="261"/>
      <c r="D260" s="41">
        <f>IF('1. Inputs'!$F32=0,"",'1. Inputs'!$F32)</f>
        <v>400</v>
      </c>
      <c r="E260" s="41">
        <f>IF('1. Inputs'!$F32=0,"",'1. Inputs'!$F32)</f>
        <v>400</v>
      </c>
      <c r="F260" s="41">
        <f>IF('1. Inputs'!$F32=0,"",'1. Inputs'!$F32)</f>
        <v>400</v>
      </c>
      <c r="G260" s="41">
        <f>IF('1. Inputs'!$F32=0,"",'1. Inputs'!$F32)</f>
        <v>400</v>
      </c>
      <c r="H260" s="41">
        <f>IF('1. Inputs'!$F32=0,"",'1. Inputs'!$F32)</f>
        <v>400</v>
      </c>
      <c r="I260" s="41">
        <f>IF('1. Inputs'!$F32=0,"",'1. Inputs'!$F32)</f>
        <v>400</v>
      </c>
      <c r="J260" s="41">
        <f>IF('1. Inputs'!$F32=0,"",'1. Inputs'!$F32)</f>
        <v>400</v>
      </c>
      <c r="K260" s="41">
        <f>IF('1. Inputs'!$F32=0,"",'1. Inputs'!$F32)</f>
        <v>400</v>
      </c>
      <c r="L260" s="41">
        <f>IF('1. Inputs'!$F32=0,"",'1. Inputs'!$F32)</f>
        <v>400</v>
      </c>
      <c r="M260" s="41">
        <f>IF('1. Inputs'!$F32=0,"",'1. Inputs'!$F32)</f>
        <v>400</v>
      </c>
    </row>
    <row r="261" spans="2:13">
      <c r="B261" s="261" t="s">
        <v>8</v>
      </c>
      <c r="C261" s="261"/>
      <c r="D261" s="41">
        <f>IF('1. Inputs'!$F33=0,"",'1. Inputs'!$F33)</f>
        <v>400</v>
      </c>
      <c r="E261" s="41">
        <f>IF('1. Inputs'!$F33=0,"",'1. Inputs'!$F33)</f>
        <v>400</v>
      </c>
      <c r="F261" s="41">
        <f>IF('1. Inputs'!$F33=0,"",'1. Inputs'!$F33)</f>
        <v>400</v>
      </c>
      <c r="G261" s="41">
        <f>IF('1. Inputs'!$F33=0,"",'1. Inputs'!$F33)</f>
        <v>400</v>
      </c>
      <c r="H261" s="41">
        <f>IF('1. Inputs'!$F33=0,"",'1. Inputs'!$F33)</f>
        <v>400</v>
      </c>
      <c r="I261" s="41">
        <f>IF('1. Inputs'!$F33=0,"",'1. Inputs'!$F33)</f>
        <v>400</v>
      </c>
      <c r="J261" s="41">
        <f>IF('1. Inputs'!$F33=0,"",'1. Inputs'!$F33)</f>
        <v>400</v>
      </c>
      <c r="K261" s="41">
        <f>IF('1. Inputs'!$F33=0,"",'1. Inputs'!$F33)</f>
        <v>400</v>
      </c>
      <c r="L261" s="41">
        <f>IF('1. Inputs'!$F33=0,"",'1. Inputs'!$F33)</f>
        <v>400</v>
      </c>
      <c r="M261" s="41">
        <f>IF('1. Inputs'!$F33=0,"",'1. Inputs'!$F33)</f>
        <v>400</v>
      </c>
    </row>
    <row r="262" spans="2:13">
      <c r="B262" s="261" t="s">
        <v>9</v>
      </c>
      <c r="C262" s="261"/>
      <c r="D262" s="41">
        <f>IF('1. Inputs'!$F34=0,"",'1. Inputs'!$F34)</f>
        <v>100</v>
      </c>
      <c r="E262" s="41">
        <f>IF('1. Inputs'!$F34=0,"",'1. Inputs'!$F34)</f>
        <v>100</v>
      </c>
      <c r="F262" s="41">
        <f>IF('1. Inputs'!$F34=0,"",'1. Inputs'!$F34)</f>
        <v>100</v>
      </c>
      <c r="G262" s="41">
        <f>IF('1. Inputs'!$F34=0,"",'1. Inputs'!$F34)</f>
        <v>100</v>
      </c>
      <c r="H262" s="41">
        <f>IF('1. Inputs'!$F34=0,"",'1. Inputs'!$F34)</f>
        <v>100</v>
      </c>
      <c r="I262" s="41">
        <f>IF('1. Inputs'!$F34=0,"",'1. Inputs'!$F34)</f>
        <v>100</v>
      </c>
      <c r="J262" s="41">
        <f>IF('1. Inputs'!$F34=0,"",'1. Inputs'!$F34)</f>
        <v>100</v>
      </c>
      <c r="K262" s="41">
        <f>IF('1. Inputs'!$F34=0,"",'1. Inputs'!$F34)</f>
        <v>100</v>
      </c>
      <c r="L262" s="41">
        <f>IF('1. Inputs'!$F34=0,"",'1. Inputs'!$F34)</f>
        <v>100</v>
      </c>
      <c r="M262" s="41">
        <f>IF('1. Inputs'!$F34=0,"",'1. Inputs'!$F34)</f>
        <v>100</v>
      </c>
    </row>
    <row r="263" spans="2:13">
      <c r="B263" s="261" t="s">
        <v>32</v>
      </c>
      <c r="C263" s="261"/>
      <c r="D263" s="41">
        <f>IF('1. Inputs'!$F35=0,"",'1. Inputs'!$F35)</f>
        <v>500</v>
      </c>
      <c r="E263" s="41">
        <f>IF('1. Inputs'!$F35=0,"",'1. Inputs'!$F35)</f>
        <v>500</v>
      </c>
      <c r="F263" s="41">
        <f>IF('1. Inputs'!$F35=0,"",'1. Inputs'!$F35)</f>
        <v>500</v>
      </c>
      <c r="G263" s="41">
        <f>IF('1. Inputs'!$F35=0,"",'1. Inputs'!$F35)</f>
        <v>500</v>
      </c>
      <c r="H263" s="41">
        <f>IF('1. Inputs'!$F35=0,"",'1. Inputs'!$F35)</f>
        <v>500</v>
      </c>
      <c r="I263" s="41">
        <f>IF('1. Inputs'!$F35=0,"",'1. Inputs'!$F35)</f>
        <v>500</v>
      </c>
      <c r="J263" s="41">
        <f>IF('1. Inputs'!$F35=0,"",'1. Inputs'!$F35)</f>
        <v>500</v>
      </c>
      <c r="K263" s="41">
        <f>IF('1. Inputs'!$F35=0,"",'1. Inputs'!$F35)</f>
        <v>500</v>
      </c>
      <c r="L263" s="41">
        <f>IF('1. Inputs'!$F35=0,"",'1. Inputs'!$F35)</f>
        <v>500</v>
      </c>
      <c r="M263" s="41">
        <f>IF('1. Inputs'!$F35=0,"",'1. Inputs'!$F35)</f>
        <v>500</v>
      </c>
    </row>
    <row r="264" spans="2:13">
      <c r="B264" s="261" t="s">
        <v>33</v>
      </c>
      <c r="C264" s="261"/>
      <c r="D264" s="41"/>
      <c r="E264" s="41">
        <f>IF('1. Inputs'!$F36=0,"",'1. Inputs'!$F36)</f>
        <v>250</v>
      </c>
      <c r="F264" s="41">
        <f>IF('1. Inputs'!$F36=0,"",'1. Inputs'!$F36)</f>
        <v>250</v>
      </c>
      <c r="G264" s="41">
        <f>IF('1. Inputs'!$F36=0,"",'1. Inputs'!$F36)</f>
        <v>250</v>
      </c>
      <c r="H264" s="41">
        <f>IF('1. Inputs'!$F36=0,"",'1. Inputs'!$F36)</f>
        <v>250</v>
      </c>
      <c r="I264" s="41">
        <f>IF('1. Inputs'!$F36=0,"",'1. Inputs'!$F36)</f>
        <v>250</v>
      </c>
      <c r="J264" s="41">
        <f>IF('1. Inputs'!$F36=0,"",'1. Inputs'!$F36)</f>
        <v>250</v>
      </c>
      <c r="K264" s="41">
        <f>IF('1. Inputs'!$F36=0,"",'1. Inputs'!$F36)</f>
        <v>250</v>
      </c>
      <c r="L264" s="41">
        <f>IF('1. Inputs'!$F36=0,"",'1. Inputs'!$F36)</f>
        <v>250</v>
      </c>
      <c r="M264" s="41">
        <f>IF('1. Inputs'!$F36=0,"",'1. Inputs'!$F36)</f>
        <v>250</v>
      </c>
    </row>
    <row r="265" spans="2:13">
      <c r="B265" s="261" t="s">
        <v>12</v>
      </c>
      <c r="C265" s="261"/>
      <c r="D265" s="41">
        <f>IF('1. Inputs'!$F37=0,"",'1. Inputs'!$F37)</f>
        <v>400</v>
      </c>
      <c r="E265" s="41">
        <f>IF('1. Inputs'!$F37=0,"",'1. Inputs'!$F37)</f>
        <v>400</v>
      </c>
      <c r="F265" s="41">
        <f>IF('1. Inputs'!$F37=0,"",'1. Inputs'!$F37)</f>
        <v>400</v>
      </c>
      <c r="G265" s="41">
        <f>IF('1. Inputs'!$F37=0,"",'1. Inputs'!$F37)</f>
        <v>400</v>
      </c>
      <c r="H265" s="41">
        <f>IF('1. Inputs'!$F37=0,"",'1. Inputs'!$F37)</f>
        <v>400</v>
      </c>
      <c r="I265" s="41">
        <f>IF('1. Inputs'!$F37=0,"",'1. Inputs'!$F37)</f>
        <v>400</v>
      </c>
      <c r="J265" s="41">
        <f>IF('1. Inputs'!$F37=0,"",'1. Inputs'!$F37)</f>
        <v>400</v>
      </c>
      <c r="K265" s="41">
        <f>IF('1. Inputs'!$F37=0,"",'1. Inputs'!$F37)</f>
        <v>400</v>
      </c>
      <c r="L265" s="41">
        <f>IF('1. Inputs'!$F37=0,"",'1. Inputs'!$F37)</f>
        <v>400</v>
      </c>
      <c r="M265" s="41">
        <f>IF('1. Inputs'!$F37=0,"",'1. Inputs'!$F37)</f>
        <v>400</v>
      </c>
    </row>
    <row r="266" spans="2:13">
      <c r="B266" s="261" t="s">
        <v>165</v>
      </c>
      <c r="C266" s="261"/>
      <c r="D266" s="41">
        <f>IF('1. Inputs'!$F38=0,"",'1. Inputs'!$F38)</f>
        <v>100</v>
      </c>
      <c r="E266" s="41">
        <f>IF('1. Inputs'!$F38=0,"",'1. Inputs'!$F38)</f>
        <v>100</v>
      </c>
      <c r="F266" s="41">
        <f>IF('1. Inputs'!$F38=0,"",'1. Inputs'!$F38)</f>
        <v>100</v>
      </c>
      <c r="G266" s="41">
        <f>IF('1. Inputs'!$F38=0,"",'1. Inputs'!$F38)</f>
        <v>100</v>
      </c>
      <c r="H266" s="41">
        <f>IF('1. Inputs'!$F38=0,"",'1. Inputs'!$F38)</f>
        <v>100</v>
      </c>
      <c r="I266" s="41">
        <f>IF('1. Inputs'!$F38=0,"",'1. Inputs'!$F38)</f>
        <v>100</v>
      </c>
      <c r="J266" s="41">
        <f>IF('1. Inputs'!$F38=0,"",'1. Inputs'!$F38)</f>
        <v>100</v>
      </c>
      <c r="K266" s="41">
        <f>IF('1. Inputs'!$F38=0,"",'1. Inputs'!$F38)</f>
        <v>100</v>
      </c>
      <c r="L266" s="41">
        <f>IF('1. Inputs'!$F38=0,"",'1. Inputs'!$F38)</f>
        <v>100</v>
      </c>
      <c r="M266" s="41">
        <f>IF('1. Inputs'!$F38=0,"",'1. Inputs'!$F38)</f>
        <v>100</v>
      </c>
    </row>
    <row r="267" spans="2:13">
      <c r="B267" s="261" t="s">
        <v>14</v>
      </c>
      <c r="C267" s="261"/>
      <c r="D267" s="41">
        <f>IF('1. Inputs'!$F39=0,"",'1. Inputs'!$F39)</f>
        <v>150</v>
      </c>
      <c r="E267" s="41">
        <f>IF('1. Inputs'!$F39=0,"",'1. Inputs'!$F39)</f>
        <v>150</v>
      </c>
      <c r="F267" s="41">
        <f>IF('1. Inputs'!$F39=0,"",'1. Inputs'!$F39)</f>
        <v>150</v>
      </c>
      <c r="G267" s="41">
        <f>IF('1. Inputs'!$F39=0,"",'1. Inputs'!$F39)</f>
        <v>150</v>
      </c>
      <c r="H267" s="41">
        <f>IF('1. Inputs'!$F39=0,"",'1. Inputs'!$F39)</f>
        <v>150</v>
      </c>
      <c r="I267" s="41">
        <f>IF('1. Inputs'!$F39=0,"",'1. Inputs'!$F39)</f>
        <v>150</v>
      </c>
      <c r="J267" s="41">
        <f>IF('1. Inputs'!$F39=0,"",'1. Inputs'!$F39)</f>
        <v>150</v>
      </c>
      <c r="K267" s="41">
        <f>IF('1. Inputs'!$F39=0,"",'1. Inputs'!$F39)</f>
        <v>150</v>
      </c>
      <c r="L267" s="41">
        <f>IF('1. Inputs'!$F39=0,"",'1. Inputs'!$F39)</f>
        <v>150</v>
      </c>
      <c r="M267" s="41">
        <f>IF('1. Inputs'!$F39=0,"",'1. Inputs'!$F39)</f>
        <v>150</v>
      </c>
    </row>
    <row r="268" spans="2:13">
      <c r="B268" s="261" t="s">
        <v>13</v>
      </c>
      <c r="C268" s="261"/>
      <c r="D268" s="41">
        <f>IF('1. Inputs'!$F40=0,"",'1. Inputs'!$F40)</f>
        <v>500</v>
      </c>
      <c r="E268" s="41">
        <f>IF('1. Inputs'!$F40=0,"",'1. Inputs'!$F40)</f>
        <v>500</v>
      </c>
      <c r="F268" s="41">
        <f>IF('1. Inputs'!$F40=0,"",'1. Inputs'!$F40)</f>
        <v>500</v>
      </c>
      <c r="G268" s="41">
        <f>IF('1. Inputs'!$F40=0,"",'1. Inputs'!$F40)</f>
        <v>500</v>
      </c>
      <c r="H268" s="41">
        <f>IF('1. Inputs'!$F40=0,"",'1. Inputs'!$F40)</f>
        <v>500</v>
      </c>
      <c r="I268" s="41">
        <f>IF('1. Inputs'!$F40=0,"",'1. Inputs'!$F40)</f>
        <v>500</v>
      </c>
      <c r="J268" s="41">
        <f>IF('1. Inputs'!$F40=0,"",'1. Inputs'!$F40)</f>
        <v>500</v>
      </c>
      <c r="K268" s="41">
        <f>IF('1. Inputs'!$F40=0,"",'1. Inputs'!$F40)</f>
        <v>500</v>
      </c>
      <c r="L268" s="41">
        <f>IF('1. Inputs'!$F40=0,"",'1. Inputs'!$F40)</f>
        <v>500</v>
      </c>
      <c r="M268" s="41">
        <f>IF('1. Inputs'!$F40=0,"",'1. Inputs'!$F40)</f>
        <v>500</v>
      </c>
    </row>
    <row r="269" spans="2:13">
      <c r="B269" s="261" t="s">
        <v>19</v>
      </c>
      <c r="C269" s="261"/>
      <c r="D269" s="41"/>
      <c r="E269" s="41">
        <f>IF('1. Inputs'!$F41=0,"",'1. Inputs'!$F41)</f>
        <v>250</v>
      </c>
      <c r="F269" s="41">
        <f>IF('1. Inputs'!$F41=0,"",'1. Inputs'!$F41)</f>
        <v>250</v>
      </c>
      <c r="G269" s="41">
        <f>IF('1. Inputs'!$F41=0,"",'1. Inputs'!$F41)</f>
        <v>250</v>
      </c>
      <c r="H269" s="41">
        <f>IF('1. Inputs'!$F41=0,"",'1. Inputs'!$F41)</f>
        <v>250</v>
      </c>
      <c r="I269" s="41">
        <f>IF('1. Inputs'!$F41=0,"",'1. Inputs'!$F41)</f>
        <v>250</v>
      </c>
      <c r="J269" s="41">
        <f>IF('1. Inputs'!$F41=0,"",'1. Inputs'!$F41)</f>
        <v>250</v>
      </c>
      <c r="K269" s="41">
        <f>IF('1. Inputs'!$F41=0,"",'1. Inputs'!$F41)</f>
        <v>250</v>
      </c>
      <c r="L269" s="41">
        <f>IF('1. Inputs'!$F41=0,"",'1. Inputs'!$F41)</f>
        <v>250</v>
      </c>
      <c r="M269" s="41">
        <f>IF('1. Inputs'!$F41=0,"",'1. Inputs'!$F41)</f>
        <v>250</v>
      </c>
    </row>
    <row r="270" spans="2:13">
      <c r="B270" s="261" t="s">
        <v>166</v>
      </c>
      <c r="C270" s="261"/>
      <c r="D270" s="41">
        <f>IF('1. Inputs'!$F42=0,"",'1. Inputs'!$F42)</f>
        <v>100</v>
      </c>
      <c r="E270" s="41">
        <f>IF('1. Inputs'!$F42=0,"",'1. Inputs'!$F42)</f>
        <v>100</v>
      </c>
      <c r="F270" s="41">
        <f>IF('1. Inputs'!$F42=0,"",'1. Inputs'!$F42)</f>
        <v>100</v>
      </c>
      <c r="G270" s="41">
        <f>IF('1. Inputs'!$F42=0,"",'1. Inputs'!$F42)</f>
        <v>100</v>
      </c>
      <c r="H270" s="41">
        <f>IF('1. Inputs'!$F42=0,"",'1. Inputs'!$F42)</f>
        <v>100</v>
      </c>
      <c r="I270" s="41">
        <f>IF('1. Inputs'!$F42=0,"",'1. Inputs'!$F42)</f>
        <v>100</v>
      </c>
      <c r="J270" s="41">
        <f>IF('1. Inputs'!$F42=0,"",'1. Inputs'!$F42)</f>
        <v>100</v>
      </c>
      <c r="K270" s="41">
        <f>IF('1. Inputs'!$F42=0,"",'1. Inputs'!$F42)</f>
        <v>100</v>
      </c>
      <c r="L270" s="41">
        <f>IF('1. Inputs'!$F42=0,"",'1. Inputs'!$F42)</f>
        <v>100</v>
      </c>
      <c r="M270" s="41">
        <f>IF('1. Inputs'!$F42=0,"",'1. Inputs'!$F42)</f>
        <v>100</v>
      </c>
    </row>
    <row r="271" spans="2:13">
      <c r="B271" s="261" t="s">
        <v>20</v>
      </c>
      <c r="C271" s="261"/>
      <c r="D271" s="41"/>
      <c r="E271" s="41"/>
      <c r="F271" s="41">
        <f>IF('1. Inputs'!$F43=0,"",'1. Inputs'!$F43)</f>
        <v>100</v>
      </c>
      <c r="G271" s="41">
        <f>IF('1. Inputs'!$F43=0,"",'1. Inputs'!$F43)</f>
        <v>100</v>
      </c>
      <c r="H271" s="41">
        <f>IF('1. Inputs'!$F43=0,"",'1. Inputs'!$F43)</f>
        <v>100</v>
      </c>
      <c r="I271" s="41">
        <f>IF('1. Inputs'!$F43=0,"",'1. Inputs'!$F43)</f>
        <v>100</v>
      </c>
      <c r="J271" s="41">
        <f>IF('1. Inputs'!$F43=0,"",'1. Inputs'!$F43)</f>
        <v>100</v>
      </c>
      <c r="K271" s="41">
        <f>IF('1. Inputs'!$F43=0,"",'1. Inputs'!$F43)</f>
        <v>100</v>
      </c>
      <c r="L271" s="41">
        <f>IF('1. Inputs'!$F43=0,"",'1. Inputs'!$F43)</f>
        <v>100</v>
      </c>
      <c r="M271" s="41">
        <f>IF('1. Inputs'!$F43=0,"",'1. Inputs'!$F43)</f>
        <v>100</v>
      </c>
    </row>
    <row r="272" spans="2:13">
      <c r="B272" s="261" t="s">
        <v>21</v>
      </c>
      <c r="C272" s="261"/>
      <c r="D272" s="41"/>
      <c r="E272" s="41">
        <f>IF('1. Inputs'!$F44=0,"",'1. Inputs'!$F44)</f>
        <v>20</v>
      </c>
      <c r="F272" s="41">
        <f>IF('1. Inputs'!$F44=0,"",'1. Inputs'!$F44)</f>
        <v>20</v>
      </c>
      <c r="G272" s="41">
        <f>IF('1. Inputs'!$F44=0,"",'1. Inputs'!$F44)</f>
        <v>20</v>
      </c>
      <c r="H272" s="41">
        <f>IF('1. Inputs'!$F44=0,"",'1. Inputs'!$F44)</f>
        <v>20</v>
      </c>
      <c r="I272" s="41">
        <f>IF('1. Inputs'!$F44=0,"",'1. Inputs'!$F44)</f>
        <v>20</v>
      </c>
      <c r="J272" s="41">
        <f>IF('1. Inputs'!$F44=0,"",'1. Inputs'!$F44)</f>
        <v>20</v>
      </c>
      <c r="K272" s="41">
        <f>IF('1. Inputs'!$F44=0,"",'1. Inputs'!$F44)</f>
        <v>20</v>
      </c>
      <c r="L272" s="41">
        <f>IF('1. Inputs'!$F44=0,"",'1. Inputs'!$F44)</f>
        <v>20</v>
      </c>
      <c r="M272" s="41">
        <f>IF('1. Inputs'!$F44=0,"",'1. Inputs'!$F44)</f>
        <v>20</v>
      </c>
    </row>
    <row r="273" spans="2:13">
      <c r="B273" s="261" t="s">
        <v>22</v>
      </c>
      <c r="C273" s="261"/>
      <c r="D273" s="41"/>
      <c r="E273" s="41">
        <f>IF('1. Inputs'!$F45=0,"",'1. Inputs'!$F45)</f>
        <v>50</v>
      </c>
      <c r="F273" s="41">
        <f>IF('1. Inputs'!$F45=0,"",'1. Inputs'!$F45)</f>
        <v>50</v>
      </c>
      <c r="G273" s="41">
        <f>IF('1. Inputs'!$F45=0,"",'1. Inputs'!$F45)</f>
        <v>50</v>
      </c>
      <c r="H273" s="41">
        <f>IF('1. Inputs'!$F45=0,"",'1. Inputs'!$F45)</f>
        <v>50</v>
      </c>
      <c r="I273" s="41">
        <f>IF('1. Inputs'!$F45=0,"",'1. Inputs'!$F45)</f>
        <v>50</v>
      </c>
      <c r="J273" s="41">
        <f>IF('1. Inputs'!$F45=0,"",'1. Inputs'!$F45)</f>
        <v>50</v>
      </c>
      <c r="K273" s="41">
        <f>IF('1. Inputs'!$F45=0,"",'1. Inputs'!$F45)</f>
        <v>50</v>
      </c>
      <c r="L273" s="41">
        <f>IF('1. Inputs'!$F45=0,"",'1. Inputs'!$F45)</f>
        <v>50</v>
      </c>
      <c r="M273" s="41">
        <f>IF('1. Inputs'!$F45=0,"",'1. Inputs'!$F45)</f>
        <v>50</v>
      </c>
    </row>
    <row r="274" spans="2:13">
      <c r="B274" s="261" t="s">
        <v>167</v>
      </c>
      <c r="C274" s="261"/>
      <c r="D274" s="41" t="str">
        <f>IF('1. Inputs'!$F46=0,"",'1. Inputs'!$F46)</f>
        <v/>
      </c>
      <c r="E274" s="41" t="str">
        <f>IF('1. Inputs'!$F46=0,"",'1. Inputs'!$F46)</f>
        <v/>
      </c>
      <c r="F274" s="41" t="str">
        <f>IF('1. Inputs'!$F46=0,"",'1. Inputs'!$F46)</f>
        <v/>
      </c>
      <c r="G274" s="41" t="str">
        <f>IF('1. Inputs'!$F46=0,"",'1. Inputs'!$F46)</f>
        <v/>
      </c>
      <c r="H274" s="41" t="str">
        <f>IF('1. Inputs'!$F46=0,"",'1. Inputs'!$F46)</f>
        <v/>
      </c>
      <c r="I274" s="41" t="str">
        <f>IF('1. Inputs'!$F46=0,"",'1. Inputs'!$F46)</f>
        <v/>
      </c>
      <c r="J274" s="41" t="str">
        <f>IF('1. Inputs'!$F46=0,"",'1. Inputs'!$F46)</f>
        <v/>
      </c>
      <c r="K274" s="41" t="str">
        <f>IF('1. Inputs'!$F46=0,"",'1. Inputs'!$F46)</f>
        <v/>
      </c>
      <c r="L274" s="41" t="str">
        <f>IF('1. Inputs'!$F46=0,"",'1. Inputs'!$F46)</f>
        <v/>
      </c>
      <c r="M274" s="41" t="str">
        <f>IF('1. Inputs'!$F46=0,"",'1. Inputs'!$F46)</f>
        <v/>
      </c>
    </row>
    <row r="275" spans="2:13">
      <c r="B275" s="261" t="s">
        <v>168</v>
      </c>
      <c r="C275" s="261"/>
      <c r="D275" s="41" t="str">
        <f>IF('1. Inputs'!$F47=0,"",'1. Inputs'!$F47)</f>
        <v/>
      </c>
      <c r="E275" s="41" t="str">
        <f>IF('1. Inputs'!$F47=0,"",'1. Inputs'!$F47)</f>
        <v/>
      </c>
      <c r="F275" s="41" t="str">
        <f>IF('1. Inputs'!$F47=0,"",'1. Inputs'!$F47)</f>
        <v/>
      </c>
      <c r="G275" s="41" t="str">
        <f>IF('1. Inputs'!$F47=0,"",'1. Inputs'!$F47)</f>
        <v/>
      </c>
      <c r="H275" s="41" t="str">
        <f>IF('1. Inputs'!$F47=0,"",'1. Inputs'!$F47)</f>
        <v/>
      </c>
      <c r="I275" s="41" t="str">
        <f>IF('1. Inputs'!$F47=0,"",'1. Inputs'!$F47)</f>
        <v/>
      </c>
      <c r="J275" s="41" t="str">
        <f>IF('1. Inputs'!$F47=0,"",'1. Inputs'!$F47)</f>
        <v/>
      </c>
      <c r="K275" s="41" t="str">
        <f>IF('1. Inputs'!$F47=0,"",'1. Inputs'!$F47)</f>
        <v/>
      </c>
      <c r="L275" s="41" t="str">
        <f>IF('1. Inputs'!$F47=0,"",'1. Inputs'!$F47)</f>
        <v/>
      </c>
      <c r="M275" s="41" t="str">
        <f>IF('1. Inputs'!$F47=0,"",'1. Inputs'!$F47)</f>
        <v/>
      </c>
    </row>
    <row r="276" spans="2:13">
      <c r="B276" s="262" t="s">
        <v>119</v>
      </c>
      <c r="C276" s="262"/>
      <c r="D276" s="42">
        <f>SUM(D246:D275)</f>
        <v>16648.75</v>
      </c>
      <c r="E276" s="42">
        <f t="shared" ref="E276:M276" si="102">SUM(E246:E275)</f>
        <v>3800</v>
      </c>
      <c r="F276" s="42">
        <f t="shared" si="102"/>
        <v>3900</v>
      </c>
      <c r="G276" s="42">
        <f t="shared" si="102"/>
        <v>3720</v>
      </c>
      <c r="H276" s="42">
        <f t="shared" si="102"/>
        <v>3720</v>
      </c>
      <c r="I276" s="42">
        <f t="shared" si="102"/>
        <v>3720</v>
      </c>
      <c r="J276" s="42">
        <f t="shared" si="102"/>
        <v>3720</v>
      </c>
      <c r="K276" s="42">
        <f t="shared" si="102"/>
        <v>3720</v>
      </c>
      <c r="L276" s="42">
        <f t="shared" si="102"/>
        <v>3720</v>
      </c>
      <c r="M276" s="42">
        <f t="shared" si="102"/>
        <v>3720</v>
      </c>
    </row>
    <row r="277" spans="2:13">
      <c r="B277" s="263" t="s">
        <v>121</v>
      </c>
      <c r="C277" s="263"/>
      <c r="D277" s="42">
        <f>SUM(D244, D276*-1)</f>
        <v>-16648.75</v>
      </c>
      <c r="E277" s="42">
        <f t="shared" ref="E277:M277" si="103">SUM(E244, E276*-1)</f>
        <v>-474.49999999999955</v>
      </c>
      <c r="F277" s="42">
        <f t="shared" si="103"/>
        <v>1088.25</v>
      </c>
      <c r="G277" s="42">
        <f t="shared" si="103"/>
        <v>2931.0000000000009</v>
      </c>
      <c r="H277" s="42">
        <f t="shared" si="103"/>
        <v>2931.0000000000009</v>
      </c>
      <c r="I277" s="42">
        <f t="shared" si="103"/>
        <v>2931.0000000000009</v>
      </c>
      <c r="J277" s="42">
        <f t="shared" si="103"/>
        <v>2931.0000000000009</v>
      </c>
      <c r="K277" s="42">
        <f t="shared" si="103"/>
        <v>2931.0000000000009</v>
      </c>
      <c r="L277" s="42">
        <f t="shared" si="103"/>
        <v>2931.0000000000009</v>
      </c>
      <c r="M277" s="42">
        <f t="shared" si="103"/>
        <v>2931.0000000000009</v>
      </c>
    </row>
    <row r="278" spans="2:13">
      <c r="B278" s="267" t="s">
        <v>122</v>
      </c>
      <c r="C278" s="267"/>
      <c r="D278" s="45">
        <f>D277</f>
        <v>-16648.75</v>
      </c>
      <c r="E278" s="45">
        <f>E277+D278</f>
        <v>-17123.25</v>
      </c>
      <c r="F278" s="45">
        <f t="shared" ref="F278" si="104">F277+E278</f>
        <v>-16035</v>
      </c>
      <c r="G278" s="45">
        <f t="shared" ref="G278" si="105">G277+F278</f>
        <v>-13104</v>
      </c>
      <c r="H278" s="45">
        <f t="shared" ref="H278" si="106">H277+G278</f>
        <v>-10173</v>
      </c>
      <c r="I278" s="45">
        <f t="shared" ref="I278" si="107">I277+H278</f>
        <v>-7241.9999999999991</v>
      </c>
      <c r="J278" s="45">
        <f t="shared" ref="J278" si="108">J277+I278</f>
        <v>-4310.9999999999982</v>
      </c>
      <c r="K278" s="45">
        <f t="shared" ref="K278" si="109">K277+J278</f>
        <v>-1379.9999999999973</v>
      </c>
      <c r="L278" s="45">
        <f t="shared" ref="L278" si="110">L277+K278</f>
        <v>1551.0000000000036</v>
      </c>
      <c r="M278" s="45">
        <f>M277+L278</f>
        <v>4482.0000000000045</v>
      </c>
    </row>
  </sheetData>
  <sheetProtection algorithmName="SHA-512" hashValue="KzNcF9Zz2PnrmeOmH8QcDIGmEGCxV8wTejr1dZD8aNRFyEey9KphMUimiMXfVyNBRQHGPwOQgCp77YVDJebUwA==" saltValue="jEbfQRtFvnOjm8TMQMCPZw==" spinCount="100000" sheet="1" scenarios="1" selectLockedCells="1" selectUnlockedCells="1"/>
  <mergeCells count="175">
    <mergeCell ref="B276:C276"/>
    <mergeCell ref="B277:C277"/>
    <mergeCell ref="B278:C278"/>
    <mergeCell ref="B270:C270"/>
    <mergeCell ref="B271:C271"/>
    <mergeCell ref="B272:C272"/>
    <mergeCell ref="B273:C273"/>
    <mergeCell ref="B274:C274"/>
    <mergeCell ref="B275:C275"/>
    <mergeCell ref="B264:C264"/>
    <mergeCell ref="B265:C265"/>
    <mergeCell ref="B266:C266"/>
    <mergeCell ref="B267:C267"/>
    <mergeCell ref="B268:C268"/>
    <mergeCell ref="B269:C269"/>
    <mergeCell ref="B245:C245"/>
    <mergeCell ref="B259:C259"/>
    <mergeCell ref="B260:C260"/>
    <mergeCell ref="B261:C261"/>
    <mergeCell ref="B262:C262"/>
    <mergeCell ref="B263:C263"/>
    <mergeCell ref="B233:C233"/>
    <mergeCell ref="B234:C234"/>
    <mergeCell ref="B240:C240"/>
    <mergeCell ref="B241:C241"/>
    <mergeCell ref="B242:C242"/>
    <mergeCell ref="B244:C244"/>
    <mergeCell ref="B227:C227"/>
    <mergeCell ref="B228:C228"/>
    <mergeCell ref="B229:C229"/>
    <mergeCell ref="B230:C230"/>
    <mergeCell ref="B231:C231"/>
    <mergeCell ref="B232:C232"/>
    <mergeCell ref="B221:C221"/>
    <mergeCell ref="B222:C222"/>
    <mergeCell ref="B223:C223"/>
    <mergeCell ref="B224:C224"/>
    <mergeCell ref="B225:C225"/>
    <mergeCell ref="B226:C226"/>
    <mergeCell ref="B215:C215"/>
    <mergeCell ref="B216:C216"/>
    <mergeCell ref="B217:C217"/>
    <mergeCell ref="B218:C218"/>
    <mergeCell ref="B219:C219"/>
    <mergeCell ref="B220:C220"/>
    <mergeCell ref="B191:C191"/>
    <mergeCell ref="B197:C197"/>
    <mergeCell ref="B198:C198"/>
    <mergeCell ref="B199:C199"/>
    <mergeCell ref="B201:C201"/>
    <mergeCell ref="B202:C202"/>
    <mergeCell ref="B185:C185"/>
    <mergeCell ref="B186:C186"/>
    <mergeCell ref="B187:C187"/>
    <mergeCell ref="B188:C188"/>
    <mergeCell ref="B189:C189"/>
    <mergeCell ref="B190:C190"/>
    <mergeCell ref="B179:C179"/>
    <mergeCell ref="B180:C180"/>
    <mergeCell ref="B181:C181"/>
    <mergeCell ref="B182:C182"/>
    <mergeCell ref="B183:C183"/>
    <mergeCell ref="B184:C184"/>
    <mergeCell ref="B173:C173"/>
    <mergeCell ref="B174:C174"/>
    <mergeCell ref="B175:C175"/>
    <mergeCell ref="B176:C176"/>
    <mergeCell ref="B177:C177"/>
    <mergeCell ref="B178:C178"/>
    <mergeCell ref="B154:C154"/>
    <mergeCell ref="B155:C155"/>
    <mergeCell ref="B156:C156"/>
    <mergeCell ref="B158:C158"/>
    <mergeCell ref="B159:C159"/>
    <mergeCell ref="B172:C172"/>
    <mergeCell ref="B148:C148"/>
    <mergeCell ref="B142:C142"/>
    <mergeCell ref="B143:C143"/>
    <mergeCell ref="B144:C144"/>
    <mergeCell ref="B145:C145"/>
    <mergeCell ref="B146:C146"/>
    <mergeCell ref="B147:C147"/>
    <mergeCell ref="B136:C136"/>
    <mergeCell ref="B137:C137"/>
    <mergeCell ref="B138:C138"/>
    <mergeCell ref="B139:C139"/>
    <mergeCell ref="B140:C140"/>
    <mergeCell ref="B141:C141"/>
    <mergeCell ref="B130:C130"/>
    <mergeCell ref="B131:C131"/>
    <mergeCell ref="B132:C132"/>
    <mergeCell ref="B133:C133"/>
    <mergeCell ref="B134:C134"/>
    <mergeCell ref="B135:C135"/>
    <mergeCell ref="B111:C111"/>
    <mergeCell ref="B112:C112"/>
    <mergeCell ref="B113:C113"/>
    <mergeCell ref="B115:C115"/>
    <mergeCell ref="B116:C116"/>
    <mergeCell ref="B129:C129"/>
    <mergeCell ref="B103:C103"/>
    <mergeCell ref="B104:C104"/>
    <mergeCell ref="B105:C105"/>
    <mergeCell ref="B97:C97"/>
    <mergeCell ref="B98:C98"/>
    <mergeCell ref="B99:C99"/>
    <mergeCell ref="B100:C100"/>
    <mergeCell ref="B101:C101"/>
    <mergeCell ref="B102:C102"/>
    <mergeCell ref="B91:C91"/>
    <mergeCell ref="B92:C92"/>
    <mergeCell ref="B93:C93"/>
    <mergeCell ref="B94:C94"/>
    <mergeCell ref="B95:C95"/>
    <mergeCell ref="B96:C96"/>
    <mergeCell ref="B80:C80"/>
    <mergeCell ref="B86:C86"/>
    <mergeCell ref="B87:C87"/>
    <mergeCell ref="B88:C88"/>
    <mergeCell ref="B89:C89"/>
    <mergeCell ref="B90:C90"/>
    <mergeCell ref="B68:C68"/>
    <mergeCell ref="B69:C69"/>
    <mergeCell ref="B75:C75"/>
    <mergeCell ref="B76:C76"/>
    <mergeCell ref="B77:C77"/>
    <mergeCell ref="B79:C79"/>
    <mergeCell ref="B62:C62"/>
    <mergeCell ref="B63:C63"/>
    <mergeCell ref="B64:C64"/>
    <mergeCell ref="B65:C65"/>
    <mergeCell ref="B66:C66"/>
    <mergeCell ref="B67:C67"/>
    <mergeCell ref="B56:C56"/>
    <mergeCell ref="B57:C57"/>
    <mergeCell ref="B58:C58"/>
    <mergeCell ref="B59:C59"/>
    <mergeCell ref="B60:C60"/>
    <mergeCell ref="B61:C61"/>
    <mergeCell ref="B50:C50"/>
    <mergeCell ref="B51:C51"/>
    <mergeCell ref="B52:C52"/>
    <mergeCell ref="B53:C53"/>
    <mergeCell ref="B54:C54"/>
    <mergeCell ref="B55:C55"/>
    <mergeCell ref="B33:C33"/>
    <mergeCell ref="B39:C39"/>
    <mergeCell ref="B40:C40"/>
    <mergeCell ref="B41:C41"/>
    <mergeCell ref="B43:C43"/>
    <mergeCell ref="B44:C44"/>
    <mergeCell ref="B8:C8"/>
    <mergeCell ref="B27:C27"/>
    <mergeCell ref="B28:C28"/>
    <mergeCell ref="B30:C30"/>
    <mergeCell ref="B29:C29"/>
    <mergeCell ref="B31:C31"/>
    <mergeCell ref="B32:C32"/>
    <mergeCell ref="B22:C22"/>
    <mergeCell ref="B23:C23"/>
    <mergeCell ref="B24:C24"/>
    <mergeCell ref="B25:C25"/>
    <mergeCell ref="B26:C26"/>
    <mergeCell ref="B16:C16"/>
    <mergeCell ref="B17:C17"/>
    <mergeCell ref="B18:C18"/>
    <mergeCell ref="B19:C19"/>
    <mergeCell ref="B20:C20"/>
    <mergeCell ref="B21:C21"/>
    <mergeCell ref="B9:C9"/>
    <mergeCell ref="B10:C10"/>
    <mergeCell ref="B12:C12"/>
    <mergeCell ref="B13:C13"/>
    <mergeCell ref="B14:C14"/>
    <mergeCell ref="B15:C15"/>
  </mergeCells>
  <pageMargins left="0.7" right="0.7" top="0.75" bottom="0.75" header="0.3" footer="0.3"/>
  <pageSetup scale="84" orientation="landscape" verticalDpi="0" r:id="rId1"/>
  <headerFooter differentFirst="1">
    <oddHeader>&amp;R&amp;"Calibri (Body),Regular"&amp;K00-028RETURN ON INVESTMENT CALCULATOR
&amp;10DETAILED FINANCIAL REPORTS</oddHeader>
    <oddFooter>&amp;RPage &amp;P of &amp;N</oddFooter>
    <firstFooter>&amp;RPage &amp;P of &amp;N</firstFooter>
  </headerFooter>
  <rowBreaks count="6" manualBreakCount="6">
    <brk id="35" max="16383" man="1"/>
    <brk id="71" max="16383" man="1"/>
    <brk id="107" max="16383" man="1"/>
    <brk id="150" max="16383" man="1"/>
    <brk id="193" max="16383" man="1"/>
    <brk id="236" min="1" max="12"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9642D5-61D9-324B-83AE-D7B50DAB4969}">
  <dimension ref="A1:S34"/>
  <sheetViews>
    <sheetView showGridLines="0" view="pageLayout" topLeftCell="A13" zoomScaleNormal="100" workbookViewId="0">
      <selection activeCell="L21" sqref="L21"/>
    </sheetView>
  </sheetViews>
  <sheetFormatPr defaultColWidth="10.81640625" defaultRowHeight="15.5"/>
  <cols>
    <col min="1" max="1" width="1" style="50" customWidth="1"/>
    <col min="2" max="2" width="21.7265625" style="102" customWidth="1"/>
    <col min="3" max="12" width="4.7265625" style="102" customWidth="1"/>
    <col min="13" max="13" width="11.7265625" style="102" customWidth="1"/>
    <col min="14" max="15" width="11.81640625" style="102" customWidth="1"/>
    <col min="16" max="17" width="12.26953125" style="102" customWidth="1"/>
    <col min="18" max="16384" width="10.81640625" style="102"/>
  </cols>
  <sheetData>
    <row r="1" spans="2:19" s="51" customFormat="1" ht="18" customHeight="1">
      <c r="B1" s="17" t="s">
        <v>259</v>
      </c>
      <c r="C1" s="52"/>
      <c r="D1" s="52"/>
      <c r="E1" s="52"/>
    </row>
    <row r="2" spans="2:19" s="51" customFormat="1" ht="16" customHeight="1">
      <c r="B2" s="57" t="s">
        <v>142</v>
      </c>
      <c r="C2" s="52"/>
      <c r="D2" s="52"/>
      <c r="E2" s="52"/>
    </row>
    <row r="4" spans="2:19">
      <c r="B4" s="272" t="s">
        <v>73</v>
      </c>
      <c r="C4" s="273" t="s">
        <v>133</v>
      </c>
      <c r="D4" s="274"/>
      <c r="E4" s="274"/>
      <c r="F4" s="274"/>
      <c r="G4" s="274"/>
      <c r="H4" s="274"/>
      <c r="I4" s="274"/>
      <c r="J4" s="274"/>
      <c r="K4" s="274"/>
      <c r="L4" s="275"/>
      <c r="M4" s="272" t="s">
        <v>104</v>
      </c>
      <c r="N4" s="272" t="s">
        <v>219</v>
      </c>
      <c r="O4" s="272"/>
      <c r="P4" s="272" t="s">
        <v>221</v>
      </c>
      <c r="Q4" s="272"/>
      <c r="R4" s="272" t="s">
        <v>220</v>
      </c>
      <c r="S4" s="272"/>
    </row>
    <row r="5" spans="2:19">
      <c r="B5" s="272"/>
      <c r="C5" s="103" t="s">
        <v>66</v>
      </c>
      <c r="D5" s="103" t="s">
        <v>57</v>
      </c>
      <c r="E5" s="103" t="s">
        <v>58</v>
      </c>
      <c r="F5" s="103" t="s">
        <v>59</v>
      </c>
      <c r="G5" s="103" t="s">
        <v>60</v>
      </c>
      <c r="H5" s="103" t="s">
        <v>61</v>
      </c>
      <c r="I5" s="103" t="s">
        <v>62</v>
      </c>
      <c r="J5" s="103" t="s">
        <v>63</v>
      </c>
      <c r="K5" s="103" t="s">
        <v>64</v>
      </c>
      <c r="L5" s="104" t="s">
        <v>65</v>
      </c>
      <c r="M5" s="272"/>
      <c r="N5" s="105" t="s">
        <v>85</v>
      </c>
      <c r="O5" s="106" t="s">
        <v>86</v>
      </c>
      <c r="P5" s="105" t="s">
        <v>85</v>
      </c>
      <c r="Q5" s="106" t="s">
        <v>86</v>
      </c>
      <c r="R5" s="105" t="s">
        <v>85</v>
      </c>
      <c r="S5" s="106" t="s">
        <v>86</v>
      </c>
    </row>
    <row r="6" spans="2:19">
      <c r="B6" s="168" t="s">
        <v>56</v>
      </c>
      <c r="C6" s="168">
        <v>0</v>
      </c>
      <c r="D6" s="168">
        <v>300</v>
      </c>
      <c r="E6" s="168">
        <v>350</v>
      </c>
      <c r="F6" s="168">
        <v>425</v>
      </c>
      <c r="G6" s="168">
        <v>425</v>
      </c>
      <c r="H6" s="168">
        <v>425</v>
      </c>
      <c r="I6" s="168">
        <v>425</v>
      </c>
      <c r="J6" s="168">
        <v>425</v>
      </c>
      <c r="K6" s="168">
        <v>425</v>
      </c>
      <c r="L6" s="168">
        <v>425</v>
      </c>
      <c r="M6" s="168" t="s">
        <v>90</v>
      </c>
      <c r="N6" s="169">
        <v>11000</v>
      </c>
      <c r="O6" s="169">
        <f>N6*'1. Inputs'!$F$18</f>
        <v>14632.2</v>
      </c>
      <c r="P6" s="169">
        <v>1800</v>
      </c>
      <c r="Q6" s="169">
        <f>P6*'1. Inputs'!$F$18</f>
        <v>2394.36</v>
      </c>
      <c r="R6" s="169">
        <v>0</v>
      </c>
      <c r="S6" s="169">
        <f>R6*'1. Inputs'!$F$18</f>
        <v>0</v>
      </c>
    </row>
    <row r="7" spans="2:19">
      <c r="B7" s="168" t="s">
        <v>68</v>
      </c>
      <c r="C7" s="168">
        <v>0</v>
      </c>
      <c r="D7" s="168">
        <v>189</v>
      </c>
      <c r="E7" s="168">
        <v>300</v>
      </c>
      <c r="F7" s="168">
        <v>350</v>
      </c>
      <c r="G7" s="168">
        <v>400</v>
      </c>
      <c r="H7" s="168">
        <v>400</v>
      </c>
      <c r="I7" s="168">
        <v>400</v>
      </c>
      <c r="J7" s="168">
        <v>400</v>
      </c>
      <c r="K7" s="168">
        <v>400</v>
      </c>
      <c r="L7" s="168">
        <v>400</v>
      </c>
      <c r="M7" s="168" t="s">
        <v>90</v>
      </c>
      <c r="N7" s="169">
        <v>11000</v>
      </c>
      <c r="O7" s="169">
        <f>N7*'1. Inputs'!$F$18</f>
        <v>14632.2</v>
      </c>
      <c r="P7" s="169">
        <v>1650</v>
      </c>
      <c r="Q7" s="169">
        <f>P7*'1. Inputs'!$F$18</f>
        <v>2194.83</v>
      </c>
      <c r="R7" s="169">
        <v>0</v>
      </c>
      <c r="S7" s="169">
        <f>R7*'1. Inputs'!$F$18</f>
        <v>0</v>
      </c>
    </row>
    <row r="8" spans="2:19">
      <c r="B8" s="168" t="s">
        <v>72</v>
      </c>
      <c r="C8" s="168">
        <v>0</v>
      </c>
      <c r="D8" s="168">
        <v>150</v>
      </c>
      <c r="E8" s="168">
        <v>200</v>
      </c>
      <c r="F8" s="168">
        <v>300</v>
      </c>
      <c r="G8" s="168">
        <v>300</v>
      </c>
      <c r="H8" s="168">
        <v>300</v>
      </c>
      <c r="I8" s="168">
        <v>300</v>
      </c>
      <c r="J8" s="168">
        <v>300</v>
      </c>
      <c r="K8" s="168">
        <v>300</v>
      </c>
      <c r="L8" s="168">
        <v>300</v>
      </c>
      <c r="M8" s="168" t="s">
        <v>90</v>
      </c>
      <c r="N8" s="169">
        <v>11000</v>
      </c>
      <c r="O8" s="169">
        <f>N8*'1. Inputs'!$F$18</f>
        <v>14632.2</v>
      </c>
      <c r="P8" s="169">
        <v>1650</v>
      </c>
      <c r="Q8" s="169">
        <f>P8*'1. Inputs'!$F$18</f>
        <v>2194.83</v>
      </c>
      <c r="R8" s="169">
        <v>0</v>
      </c>
      <c r="S8" s="169">
        <f>R8*'1. Inputs'!$F$18</f>
        <v>0</v>
      </c>
    </row>
    <row r="9" spans="2:19">
      <c r="B9" s="168" t="s">
        <v>69</v>
      </c>
      <c r="C9" s="168">
        <v>0</v>
      </c>
      <c r="D9" s="168">
        <v>200</v>
      </c>
      <c r="E9" s="168">
        <v>250</v>
      </c>
      <c r="F9" s="168">
        <v>300</v>
      </c>
      <c r="G9" s="168">
        <v>350</v>
      </c>
      <c r="H9" s="168">
        <v>350</v>
      </c>
      <c r="I9" s="168">
        <v>350</v>
      </c>
      <c r="J9" s="168">
        <v>350</v>
      </c>
      <c r="K9" s="168">
        <v>350</v>
      </c>
      <c r="L9" s="168">
        <v>350</v>
      </c>
      <c r="M9" s="168" t="s">
        <v>90</v>
      </c>
      <c r="N9" s="169">
        <v>11000</v>
      </c>
      <c r="O9" s="169">
        <f>N9*'1. Inputs'!$F$18</f>
        <v>14632.2</v>
      </c>
      <c r="P9" s="169">
        <v>1800</v>
      </c>
      <c r="Q9" s="169">
        <f>P9*'1. Inputs'!$F$18</f>
        <v>2394.36</v>
      </c>
      <c r="R9" s="169">
        <v>0</v>
      </c>
      <c r="S9" s="169">
        <f>R9*'1. Inputs'!$F$18</f>
        <v>0</v>
      </c>
    </row>
    <row r="10" spans="2:19">
      <c r="B10" s="168" t="s">
        <v>74</v>
      </c>
      <c r="C10" s="168">
        <v>0</v>
      </c>
      <c r="D10" s="168">
        <v>155</v>
      </c>
      <c r="E10" s="168">
        <v>400</v>
      </c>
      <c r="F10" s="168">
        <v>400</v>
      </c>
      <c r="G10" s="168">
        <v>400</v>
      </c>
      <c r="H10" s="168">
        <v>400</v>
      </c>
      <c r="I10" s="168">
        <v>400</v>
      </c>
      <c r="J10" s="168">
        <v>400</v>
      </c>
      <c r="K10" s="168">
        <v>400</v>
      </c>
      <c r="L10" s="168">
        <v>400</v>
      </c>
      <c r="M10" s="168" t="s">
        <v>90</v>
      </c>
      <c r="N10" s="169">
        <v>11000</v>
      </c>
      <c r="O10" s="169">
        <f>N10*'1. Inputs'!$F$18</f>
        <v>14632.2</v>
      </c>
      <c r="P10" s="169">
        <v>1650</v>
      </c>
      <c r="Q10" s="169">
        <f>P10*'1. Inputs'!$F$18</f>
        <v>2194.83</v>
      </c>
      <c r="R10" s="169">
        <v>0</v>
      </c>
      <c r="S10" s="169">
        <f>R10*'1. Inputs'!$F$18</f>
        <v>0</v>
      </c>
    </row>
    <row r="11" spans="2:19">
      <c r="B11" s="168" t="s">
        <v>70</v>
      </c>
      <c r="C11" s="168">
        <v>0</v>
      </c>
      <c r="D11" s="168">
        <v>200</v>
      </c>
      <c r="E11" s="168">
        <v>300</v>
      </c>
      <c r="F11" s="168">
        <v>300</v>
      </c>
      <c r="G11" s="168">
        <v>350</v>
      </c>
      <c r="H11" s="168">
        <v>350</v>
      </c>
      <c r="I11" s="168">
        <v>350</v>
      </c>
      <c r="J11" s="168">
        <v>350</v>
      </c>
      <c r="K11" s="168">
        <v>350</v>
      </c>
      <c r="L11" s="168">
        <v>350</v>
      </c>
      <c r="M11" s="168" t="s">
        <v>90</v>
      </c>
      <c r="N11" s="169">
        <v>11000</v>
      </c>
      <c r="O11" s="169">
        <f>N11*'1. Inputs'!$F$18</f>
        <v>14632.2</v>
      </c>
      <c r="P11" s="169">
        <v>1700</v>
      </c>
      <c r="Q11" s="169">
        <f>P11*'1. Inputs'!$F$18</f>
        <v>2261.34</v>
      </c>
      <c r="R11" s="169">
        <v>0</v>
      </c>
      <c r="S11" s="169">
        <f>R11*'1. Inputs'!$F$18</f>
        <v>0</v>
      </c>
    </row>
    <row r="12" spans="2:19">
      <c r="B12" s="168" t="s">
        <v>55</v>
      </c>
      <c r="C12" s="168">
        <v>0</v>
      </c>
      <c r="D12" s="168">
        <v>150</v>
      </c>
      <c r="E12" s="168">
        <v>250</v>
      </c>
      <c r="F12" s="168">
        <v>300</v>
      </c>
      <c r="G12" s="168">
        <v>300</v>
      </c>
      <c r="H12" s="168">
        <v>300</v>
      </c>
      <c r="I12" s="168">
        <v>300</v>
      </c>
      <c r="J12" s="168">
        <v>300</v>
      </c>
      <c r="K12" s="168">
        <v>300</v>
      </c>
      <c r="L12" s="168">
        <v>300</v>
      </c>
      <c r="M12" s="168" t="s">
        <v>91</v>
      </c>
      <c r="N12" s="169">
        <v>11000</v>
      </c>
      <c r="O12" s="169">
        <f>N12*'1. Inputs'!$F$18</f>
        <v>14632.2</v>
      </c>
      <c r="P12" s="170">
        <v>0</v>
      </c>
      <c r="Q12" s="169">
        <f>P12*'1. Inputs'!$F$18</f>
        <v>0</v>
      </c>
      <c r="R12" s="170">
        <v>0</v>
      </c>
      <c r="S12" s="169">
        <f>R12*'1. Inputs'!$F$18</f>
        <v>0</v>
      </c>
    </row>
    <row r="13" spans="2:19">
      <c r="B13" s="191" t="s">
        <v>206</v>
      </c>
      <c r="C13" s="168">
        <v>0</v>
      </c>
      <c r="D13" s="168">
        <v>150</v>
      </c>
      <c r="E13" s="168">
        <v>300</v>
      </c>
      <c r="F13" s="168">
        <v>350</v>
      </c>
      <c r="G13" s="168">
        <v>350</v>
      </c>
      <c r="H13" s="168">
        <v>350</v>
      </c>
      <c r="I13" s="168">
        <v>350</v>
      </c>
      <c r="J13" s="168">
        <v>350</v>
      </c>
      <c r="K13" s="168">
        <v>350</v>
      </c>
      <c r="L13" s="168">
        <v>350</v>
      </c>
      <c r="M13" s="168" t="s">
        <v>91</v>
      </c>
      <c r="N13" s="169">
        <v>11000</v>
      </c>
      <c r="O13" s="169">
        <f>N13*'1. Inputs'!$F$18</f>
        <v>14632.2</v>
      </c>
      <c r="P13" s="170">
        <v>0</v>
      </c>
      <c r="Q13" s="169">
        <f>P13*'1. Inputs'!$F$18</f>
        <v>0</v>
      </c>
      <c r="R13" s="170">
        <v>0</v>
      </c>
      <c r="S13" s="169">
        <f>R13*'1. Inputs'!$F$18</f>
        <v>0</v>
      </c>
    </row>
    <row r="14" spans="2:19">
      <c r="B14" s="168" t="s">
        <v>204</v>
      </c>
      <c r="C14" s="168">
        <v>0</v>
      </c>
      <c r="D14" s="168">
        <v>100</v>
      </c>
      <c r="E14" s="168">
        <v>150</v>
      </c>
      <c r="F14" s="168">
        <v>200</v>
      </c>
      <c r="G14" s="168">
        <v>200</v>
      </c>
      <c r="H14" s="168">
        <v>200</v>
      </c>
      <c r="I14" s="168">
        <v>200</v>
      </c>
      <c r="J14" s="168">
        <v>200</v>
      </c>
      <c r="K14" s="168">
        <v>200</v>
      </c>
      <c r="L14" s="168">
        <v>200</v>
      </c>
      <c r="M14" s="168" t="s">
        <v>91</v>
      </c>
      <c r="N14" s="169">
        <v>4000</v>
      </c>
      <c r="O14" s="169">
        <f>N14*'1. Inputs'!$F$18</f>
        <v>5320.8</v>
      </c>
      <c r="P14" s="170">
        <v>0</v>
      </c>
      <c r="Q14" s="169">
        <f>P14*'1. Inputs'!$F$18</f>
        <v>0</v>
      </c>
      <c r="R14" s="170">
        <v>0</v>
      </c>
      <c r="S14" s="169">
        <f>R14*'1. Inputs'!$F$18</f>
        <v>0</v>
      </c>
    </row>
    <row r="15" spans="2:19">
      <c r="B15" s="168" t="s">
        <v>71</v>
      </c>
      <c r="C15" s="168">
        <v>0</v>
      </c>
      <c r="D15" s="168">
        <v>150</v>
      </c>
      <c r="E15" s="168">
        <v>250</v>
      </c>
      <c r="F15" s="168">
        <v>300</v>
      </c>
      <c r="G15" s="168">
        <v>300</v>
      </c>
      <c r="H15" s="168">
        <v>300</v>
      </c>
      <c r="I15" s="168">
        <v>300</v>
      </c>
      <c r="J15" s="168">
        <v>300</v>
      </c>
      <c r="K15" s="168">
        <v>300</v>
      </c>
      <c r="L15" s="168">
        <v>300</v>
      </c>
      <c r="M15" s="168" t="s">
        <v>91</v>
      </c>
      <c r="N15" s="169">
        <v>11000</v>
      </c>
      <c r="O15" s="169">
        <f>N15*'1. Inputs'!$F$18</f>
        <v>14632.2</v>
      </c>
      <c r="P15" s="169">
        <v>2500</v>
      </c>
      <c r="Q15" s="169">
        <f>P15*'1. Inputs'!$F$18</f>
        <v>3325.5</v>
      </c>
      <c r="R15" s="169">
        <v>0</v>
      </c>
      <c r="S15" s="169">
        <f>R15*'1. Inputs'!$F$18</f>
        <v>0</v>
      </c>
    </row>
    <row r="16" spans="2:19">
      <c r="B16" s="168" t="s">
        <v>207</v>
      </c>
      <c r="C16" s="168">
        <v>0</v>
      </c>
      <c r="D16" s="168">
        <v>100</v>
      </c>
      <c r="E16" s="168">
        <v>150</v>
      </c>
      <c r="F16" s="168">
        <v>250</v>
      </c>
      <c r="G16" s="168">
        <v>250</v>
      </c>
      <c r="H16" s="168">
        <v>250</v>
      </c>
      <c r="I16" s="168">
        <v>250</v>
      </c>
      <c r="J16" s="168">
        <v>250</v>
      </c>
      <c r="K16" s="168">
        <v>250</v>
      </c>
      <c r="L16" s="168">
        <v>250</v>
      </c>
      <c r="M16" s="168" t="s">
        <v>209</v>
      </c>
      <c r="N16" s="169">
        <v>11000</v>
      </c>
      <c r="O16" s="169">
        <f>N16*'1. Inputs'!$F$18</f>
        <v>14632.2</v>
      </c>
      <c r="P16" s="170">
        <v>2000</v>
      </c>
      <c r="Q16" s="169">
        <f>P16*'1. Inputs'!$F$18</f>
        <v>2660.4</v>
      </c>
      <c r="R16" s="170">
        <v>125</v>
      </c>
      <c r="S16" s="169">
        <f>R16*'1. Inputs'!$F$18</f>
        <v>166.27500000000001</v>
      </c>
    </row>
    <row r="17" spans="2:19">
      <c r="B17" s="168" t="s">
        <v>127</v>
      </c>
      <c r="C17" s="168">
        <v>0</v>
      </c>
      <c r="D17" s="168">
        <v>100</v>
      </c>
      <c r="E17" s="168">
        <v>150</v>
      </c>
      <c r="F17" s="168">
        <v>200</v>
      </c>
      <c r="G17" s="168">
        <v>200</v>
      </c>
      <c r="H17" s="168">
        <v>200</v>
      </c>
      <c r="I17" s="168">
        <v>200</v>
      </c>
      <c r="J17" s="168">
        <v>200</v>
      </c>
      <c r="K17" s="168">
        <v>200</v>
      </c>
      <c r="L17" s="168">
        <v>200</v>
      </c>
      <c r="M17" s="168" t="s">
        <v>208</v>
      </c>
      <c r="N17" s="169">
        <v>4000</v>
      </c>
      <c r="O17" s="169">
        <f>N17*'1. Inputs'!$F$18</f>
        <v>5320.8</v>
      </c>
      <c r="P17" s="170">
        <v>0</v>
      </c>
      <c r="Q17" s="169">
        <f>P17*'1. Inputs'!$F$18</f>
        <v>0</v>
      </c>
      <c r="R17" s="170">
        <v>0</v>
      </c>
      <c r="S17" s="169">
        <f>R17*'1. Inputs'!$F$18</f>
        <v>0</v>
      </c>
    </row>
    <row r="18" spans="2:19">
      <c r="B18" s="168" t="s">
        <v>210</v>
      </c>
      <c r="C18" s="168">
        <v>0</v>
      </c>
      <c r="D18" s="168">
        <v>100</v>
      </c>
      <c r="E18" s="168">
        <v>150</v>
      </c>
      <c r="F18" s="168">
        <v>200</v>
      </c>
      <c r="G18" s="168">
        <v>200</v>
      </c>
      <c r="H18" s="168">
        <v>200</v>
      </c>
      <c r="I18" s="168">
        <v>200</v>
      </c>
      <c r="J18" s="168">
        <v>200</v>
      </c>
      <c r="K18" s="168">
        <v>200</v>
      </c>
      <c r="L18" s="168">
        <v>200</v>
      </c>
      <c r="M18" s="168" t="s">
        <v>208</v>
      </c>
      <c r="N18" s="169">
        <v>4000</v>
      </c>
      <c r="O18" s="169">
        <f>N18*'1. Inputs'!$F$18</f>
        <v>5320.8</v>
      </c>
      <c r="P18" s="170">
        <v>0</v>
      </c>
      <c r="Q18" s="169">
        <f>P18*'1. Inputs'!$F$18</f>
        <v>0</v>
      </c>
      <c r="R18" s="170">
        <v>0</v>
      </c>
      <c r="S18" s="169">
        <f>R18*'1. Inputs'!$F$18</f>
        <v>0</v>
      </c>
    </row>
    <row r="19" spans="2:19">
      <c r="B19" s="168" t="s">
        <v>112</v>
      </c>
      <c r="C19" s="168">
        <v>0</v>
      </c>
      <c r="D19" s="168">
        <v>100</v>
      </c>
      <c r="E19" s="168">
        <v>150</v>
      </c>
      <c r="F19" s="168">
        <v>200</v>
      </c>
      <c r="G19" s="168">
        <v>200</v>
      </c>
      <c r="H19" s="168">
        <v>200</v>
      </c>
      <c r="I19" s="168">
        <v>200</v>
      </c>
      <c r="J19" s="168">
        <v>200</v>
      </c>
      <c r="K19" s="168">
        <v>200</v>
      </c>
      <c r="L19" s="168">
        <v>200</v>
      </c>
      <c r="M19" s="168" t="s">
        <v>208</v>
      </c>
      <c r="N19" s="169">
        <v>4000</v>
      </c>
      <c r="O19" s="169">
        <f>N19*'1. Inputs'!$F$18</f>
        <v>5320.8</v>
      </c>
      <c r="P19" s="170">
        <v>0</v>
      </c>
      <c r="Q19" s="169">
        <f>P19*'1. Inputs'!$F$18</f>
        <v>0</v>
      </c>
      <c r="R19" s="170">
        <v>0</v>
      </c>
      <c r="S19" s="169">
        <f>R19*'1. Inputs'!$F$18</f>
        <v>0</v>
      </c>
    </row>
    <row r="20" spans="2:19" ht="16" thickBot="1">
      <c r="B20" s="168" t="s">
        <v>205</v>
      </c>
      <c r="C20" s="168">
        <v>0</v>
      </c>
      <c r="D20" s="168">
        <v>150</v>
      </c>
      <c r="E20" s="168">
        <v>180</v>
      </c>
      <c r="F20" s="168">
        <v>180</v>
      </c>
      <c r="G20" s="168">
        <v>180</v>
      </c>
      <c r="H20" s="168">
        <v>180</v>
      </c>
      <c r="I20" s="168">
        <v>180</v>
      </c>
      <c r="J20" s="168">
        <v>180</v>
      </c>
      <c r="K20" s="168">
        <v>180</v>
      </c>
      <c r="L20" s="168">
        <v>180</v>
      </c>
      <c r="M20" s="168" t="s">
        <v>208</v>
      </c>
      <c r="N20" s="169">
        <v>4000</v>
      </c>
      <c r="O20" s="169">
        <f>N20*'1. Inputs'!$F$18</f>
        <v>5320.8</v>
      </c>
      <c r="P20" s="170">
        <v>0</v>
      </c>
      <c r="Q20" s="169">
        <f>P20*'1. Inputs'!$F$18</f>
        <v>0</v>
      </c>
      <c r="R20" s="170">
        <v>0</v>
      </c>
      <c r="S20" s="169">
        <f>R20*'1. Inputs'!$F$18</f>
        <v>0</v>
      </c>
    </row>
    <row r="21" spans="2:19" ht="16.5" thickTop="1" thickBot="1">
      <c r="B21" s="309" t="s">
        <v>267</v>
      </c>
      <c r="C21" s="142">
        <v>0</v>
      </c>
      <c r="D21" s="142">
        <v>0</v>
      </c>
      <c r="E21" s="142">
        <v>0</v>
      </c>
      <c r="F21" s="142">
        <v>0</v>
      </c>
      <c r="G21" s="142">
        <v>0</v>
      </c>
      <c r="H21" s="310" t="s">
        <v>268</v>
      </c>
      <c r="I21" s="142"/>
      <c r="J21" s="142">
        <v>700</v>
      </c>
      <c r="K21" s="142">
        <v>700</v>
      </c>
      <c r="L21" s="142">
        <v>800</v>
      </c>
      <c r="M21" s="142"/>
      <c r="N21" s="172"/>
      <c r="O21" s="164" t="str">
        <f>IF(N21=0,"",N21*'1. Inputs'!F18)</f>
        <v/>
      </c>
      <c r="P21" s="164"/>
      <c r="Q21" s="164" t="str">
        <f>IF(P21=0,"",P21*'1. Inputs'!F18)</f>
        <v/>
      </c>
      <c r="R21" s="164"/>
      <c r="S21" s="164" t="str">
        <f>IF(R21=0,"",R21*'1. Inputs'!F18)</f>
        <v/>
      </c>
    </row>
    <row r="22" spans="2:19" ht="16" thickTop="1"/>
    <row r="23" spans="2:19">
      <c r="B23" s="269" t="s">
        <v>148</v>
      </c>
      <c r="C23" s="270"/>
      <c r="D23" s="270"/>
      <c r="E23" s="270"/>
      <c r="F23" s="270"/>
      <c r="G23" s="270"/>
      <c r="H23" s="270"/>
      <c r="I23" s="270"/>
      <c r="J23" s="270"/>
      <c r="K23" s="270"/>
      <c r="L23" s="270"/>
      <c r="M23" s="270"/>
      <c r="N23" s="270"/>
      <c r="O23" s="270"/>
      <c r="P23" s="270"/>
      <c r="Q23" s="270"/>
      <c r="R23" s="270"/>
      <c r="S23" s="271"/>
    </row>
    <row r="24" spans="2:19" ht="37" customHeight="1">
      <c r="B24" s="276" t="s">
        <v>222</v>
      </c>
      <c r="C24" s="277"/>
      <c r="D24" s="277"/>
      <c r="E24" s="277"/>
      <c r="F24" s="277"/>
      <c r="G24" s="277"/>
      <c r="H24" s="277"/>
      <c r="I24" s="277"/>
      <c r="J24" s="277"/>
      <c r="K24" s="277"/>
      <c r="L24" s="277"/>
      <c r="M24" s="277"/>
      <c r="N24" s="277"/>
      <c r="O24" s="277"/>
      <c r="P24" s="277"/>
      <c r="Q24" s="277"/>
      <c r="R24" s="277"/>
      <c r="S24" s="278"/>
    </row>
    <row r="25" spans="2:19" ht="64" customHeight="1">
      <c r="B25" s="276" t="s">
        <v>223</v>
      </c>
      <c r="C25" s="283"/>
      <c r="D25" s="283"/>
      <c r="E25" s="283"/>
      <c r="F25" s="283"/>
      <c r="G25" s="283"/>
      <c r="H25" s="283"/>
      <c r="I25" s="283"/>
      <c r="J25" s="283"/>
      <c r="K25" s="283"/>
      <c r="L25" s="283"/>
      <c r="M25" s="283"/>
      <c r="N25" s="283"/>
      <c r="O25" s="283"/>
      <c r="P25" s="283"/>
      <c r="Q25" s="283"/>
      <c r="R25" s="283"/>
      <c r="S25" s="284"/>
    </row>
    <row r="26" spans="2:19" ht="10" customHeight="1">
      <c r="B26" s="121"/>
      <c r="C26" s="122"/>
      <c r="D26" s="122"/>
      <c r="E26" s="122"/>
      <c r="F26" s="122"/>
      <c r="G26" s="122"/>
      <c r="H26" s="122"/>
      <c r="I26" s="122"/>
      <c r="J26" s="122"/>
      <c r="K26" s="122"/>
      <c r="L26" s="122"/>
      <c r="M26" s="122"/>
      <c r="N26" s="122"/>
      <c r="O26" s="122"/>
      <c r="P26" s="122"/>
      <c r="Q26" s="122"/>
      <c r="R26" s="122"/>
      <c r="S26" s="123"/>
    </row>
    <row r="27" spans="2:19">
      <c r="B27" s="279" t="s">
        <v>149</v>
      </c>
      <c r="C27" s="280"/>
      <c r="D27" s="280"/>
      <c r="E27" s="280"/>
      <c r="F27" s="280"/>
      <c r="G27" s="280"/>
      <c r="H27" s="280"/>
      <c r="I27" s="280"/>
      <c r="J27" s="280"/>
      <c r="K27" s="280"/>
      <c r="L27" s="280"/>
      <c r="M27" s="280"/>
      <c r="N27" s="280"/>
      <c r="O27" s="280"/>
      <c r="P27" s="280"/>
      <c r="Q27" s="280"/>
      <c r="R27" s="280"/>
      <c r="S27" s="281"/>
    </row>
    <row r="28" spans="2:19">
      <c r="B28" s="124" t="s">
        <v>113</v>
      </c>
      <c r="C28" s="282" t="s">
        <v>92</v>
      </c>
      <c r="D28" s="282"/>
      <c r="E28" s="282"/>
      <c r="F28" s="282"/>
      <c r="G28" s="282"/>
      <c r="H28" s="282"/>
      <c r="I28" s="282"/>
      <c r="J28" s="282"/>
      <c r="K28" s="282"/>
      <c r="L28" s="282"/>
      <c r="M28" s="282"/>
      <c r="N28" s="122"/>
      <c r="O28" s="122"/>
      <c r="P28" s="122"/>
      <c r="Q28" s="122"/>
      <c r="R28" s="122"/>
      <c r="S28" s="123"/>
    </row>
    <row r="29" spans="2:19">
      <c r="B29" s="125" t="s">
        <v>90</v>
      </c>
      <c r="C29" s="282" t="s">
        <v>93</v>
      </c>
      <c r="D29" s="282"/>
      <c r="E29" s="282"/>
      <c r="F29" s="282"/>
      <c r="G29" s="282"/>
      <c r="H29" s="282"/>
      <c r="I29" s="282"/>
      <c r="J29" s="282"/>
      <c r="K29" s="282"/>
      <c r="L29" s="282"/>
      <c r="M29" s="282"/>
      <c r="N29" s="122"/>
      <c r="O29" s="122"/>
      <c r="P29" s="122"/>
      <c r="Q29" s="122"/>
      <c r="R29" s="122"/>
      <c r="S29" s="123"/>
    </row>
    <row r="30" spans="2:19" ht="10" customHeight="1">
      <c r="B30" s="126"/>
      <c r="C30" s="127"/>
      <c r="D30" s="127"/>
      <c r="E30" s="127"/>
      <c r="F30" s="127"/>
      <c r="G30" s="127"/>
      <c r="H30" s="127"/>
      <c r="I30" s="127"/>
      <c r="J30" s="127"/>
      <c r="K30" s="127"/>
      <c r="L30" s="127"/>
      <c r="M30" s="127"/>
      <c r="N30" s="127"/>
      <c r="O30" s="127"/>
      <c r="P30" s="127"/>
      <c r="Q30" s="127"/>
      <c r="R30" s="127"/>
      <c r="S30" s="128"/>
    </row>
    <row r="34" spans="2:2">
      <c r="B34" s="50"/>
    </row>
  </sheetData>
  <sheetProtection algorithmName="SHA-512" hashValue="NQCLcXiYpojwIqNMSjc+fziYZUNxYapbLww0KGYafe6WXmIUEfhSq/vf/gFGgYDGa924tVm6EMMYok3jZ6vVJg==" saltValue="Q5TjgelTtDwmDocL5tXH+w==" spinCount="100000" sheet="1" selectLockedCells="1"/>
  <mergeCells count="12">
    <mergeCell ref="B24:S24"/>
    <mergeCell ref="B27:S27"/>
    <mergeCell ref="C28:M28"/>
    <mergeCell ref="C29:M29"/>
    <mergeCell ref="B25:S25"/>
    <mergeCell ref="B23:S23"/>
    <mergeCell ref="B4:B5"/>
    <mergeCell ref="P4:Q4"/>
    <mergeCell ref="R4:S4"/>
    <mergeCell ref="C4:L4"/>
    <mergeCell ref="M4:M5"/>
    <mergeCell ref="N4:O4"/>
  </mergeCells>
  <phoneticPr fontId="23" type="noConversion"/>
  <hyperlinks>
    <hyperlink ref="C29" r:id="rId1" xr:uid="{82DCC4E3-9F41-A14E-B675-E8E07DF637A3}"/>
    <hyperlink ref="C28" r:id="rId2" xr:uid="{44E7DDEA-CB57-6145-A390-762763E5E815}"/>
  </hyperlinks>
  <pageMargins left="0.7" right="0.7" top="0.75" bottom="0.75" header="0.3" footer="0.3"/>
  <pageSetup paperSize="5" orientation="landscape" verticalDpi="0" r:id="rId3"/>
  <headerFooter>
    <oddHeader xml:space="preserve">&amp;C </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BAC4DC-76ED-6B4E-9A6D-8CE12BCB54DE}">
  <dimension ref="A1:H34"/>
  <sheetViews>
    <sheetView showGridLines="0" view="pageLayout" zoomScaleNormal="100" workbookViewId="0">
      <selection activeCell="B3" sqref="B3"/>
    </sheetView>
  </sheetViews>
  <sheetFormatPr defaultColWidth="10.81640625" defaultRowHeight="14.5"/>
  <cols>
    <col min="1" max="1" width="1" style="50" customWidth="1"/>
    <col min="2" max="2" width="16.26953125" style="50" customWidth="1"/>
    <col min="3" max="7" width="10.81640625" style="50"/>
    <col min="8" max="8" width="13.1796875" style="50" customWidth="1"/>
    <col min="9" max="16384" width="10.81640625" style="50"/>
  </cols>
  <sheetData>
    <row r="1" spans="2:8" s="51" customFormat="1" ht="18" customHeight="1">
      <c r="B1" s="17" t="s">
        <v>259</v>
      </c>
      <c r="D1" s="52"/>
      <c r="E1" s="52"/>
      <c r="F1" s="52"/>
    </row>
    <row r="2" spans="2:8" s="51" customFormat="1" ht="16" customHeight="1">
      <c r="B2" s="57" t="s">
        <v>135</v>
      </c>
      <c r="D2" s="52"/>
      <c r="E2" s="52"/>
      <c r="F2" s="52"/>
    </row>
    <row r="4" spans="2:8" ht="15.5">
      <c r="B4" s="129" t="s">
        <v>136</v>
      </c>
      <c r="C4" s="130"/>
      <c r="D4" s="130"/>
      <c r="E4" s="130"/>
      <c r="F4" s="130"/>
      <c r="G4" s="130"/>
      <c r="H4" s="131"/>
    </row>
    <row r="5" spans="2:8" ht="64" customHeight="1">
      <c r="B5" s="295" t="s">
        <v>191</v>
      </c>
      <c r="C5" s="288"/>
      <c r="D5" s="288"/>
      <c r="E5" s="288"/>
      <c r="F5" s="288"/>
      <c r="G5" s="288"/>
      <c r="H5" s="289"/>
    </row>
    <row r="6" spans="2:8" ht="10" customHeight="1">
      <c r="B6" s="135"/>
      <c r="C6" s="100"/>
      <c r="D6" s="100"/>
      <c r="E6" s="100"/>
      <c r="F6" s="100"/>
      <c r="G6" s="100"/>
      <c r="H6" s="136"/>
    </row>
    <row r="7" spans="2:8" ht="15.5">
      <c r="B7" s="145" t="s">
        <v>189</v>
      </c>
      <c r="C7" s="144"/>
      <c r="D7" s="144"/>
      <c r="E7" s="144"/>
      <c r="F7" s="144"/>
      <c r="G7" s="144"/>
      <c r="H7" s="146"/>
    </row>
    <row r="8" spans="2:8" ht="15.5">
      <c r="B8" s="147" t="s">
        <v>190</v>
      </c>
      <c r="C8" s="148"/>
      <c r="D8" s="148"/>
      <c r="E8" s="148"/>
      <c r="F8" s="148"/>
      <c r="G8" s="148"/>
      <c r="H8" s="149"/>
    </row>
    <row r="9" spans="2:8" ht="15.5">
      <c r="B9" s="296" t="s">
        <v>183</v>
      </c>
      <c r="C9" s="293"/>
      <c r="D9" s="293"/>
      <c r="E9" s="293"/>
      <c r="F9" s="293"/>
      <c r="G9" s="293"/>
      <c r="H9" s="294"/>
    </row>
    <row r="10" spans="2:8" ht="15.5">
      <c r="B10" s="296" t="s">
        <v>185</v>
      </c>
      <c r="C10" s="293"/>
      <c r="D10" s="293"/>
      <c r="E10" s="293"/>
      <c r="F10" s="293"/>
      <c r="G10" s="293"/>
      <c r="H10" s="294"/>
    </row>
    <row r="11" spans="2:8" ht="15.5">
      <c r="B11" s="296" t="s">
        <v>184</v>
      </c>
      <c r="C11" s="293"/>
      <c r="D11" s="293"/>
      <c r="E11" s="293"/>
      <c r="F11" s="293"/>
      <c r="G11" s="293"/>
      <c r="H11" s="294"/>
    </row>
    <row r="12" spans="2:8" ht="15.5">
      <c r="B12" s="296" t="s">
        <v>156</v>
      </c>
      <c r="C12" s="293"/>
      <c r="D12" s="293"/>
      <c r="E12" s="293"/>
      <c r="F12" s="293"/>
      <c r="G12" s="293"/>
      <c r="H12" s="294"/>
    </row>
    <row r="13" spans="2:8" ht="15.5">
      <c r="B13" s="296" t="s">
        <v>186</v>
      </c>
      <c r="C13" s="293"/>
      <c r="D13" s="293"/>
      <c r="E13" s="293"/>
      <c r="F13" s="293"/>
      <c r="G13" s="293"/>
      <c r="H13" s="294"/>
    </row>
    <row r="14" spans="2:8" ht="15.5">
      <c r="B14" s="296" t="s">
        <v>157</v>
      </c>
      <c r="C14" s="293"/>
      <c r="D14" s="293"/>
      <c r="E14" s="293"/>
      <c r="F14" s="293"/>
      <c r="G14" s="293"/>
      <c r="H14" s="294"/>
    </row>
    <row r="15" spans="2:8" ht="15.5">
      <c r="B15" s="292" t="s">
        <v>158</v>
      </c>
      <c r="C15" s="293"/>
      <c r="D15" s="293"/>
      <c r="E15" s="293"/>
      <c r="F15" s="293"/>
      <c r="G15" s="293"/>
      <c r="H15" s="294"/>
    </row>
    <row r="16" spans="2:8" ht="15.5">
      <c r="B16" s="292" t="s">
        <v>159</v>
      </c>
      <c r="C16" s="293"/>
      <c r="D16" s="293"/>
      <c r="E16" s="293"/>
      <c r="F16" s="293"/>
      <c r="G16" s="293"/>
      <c r="H16" s="294"/>
    </row>
    <row r="17" spans="1:8" ht="47.15" customHeight="1">
      <c r="B17" s="292" t="s">
        <v>160</v>
      </c>
      <c r="C17" s="293"/>
      <c r="D17" s="293"/>
      <c r="E17" s="293"/>
      <c r="F17" s="293"/>
      <c r="G17" s="293"/>
      <c r="H17" s="294"/>
    </row>
    <row r="18" spans="1:8" ht="31" customHeight="1">
      <c r="B18" s="292" t="s">
        <v>161</v>
      </c>
      <c r="C18" s="293"/>
      <c r="D18" s="293"/>
      <c r="E18" s="293"/>
      <c r="F18" s="293"/>
      <c r="G18" s="293"/>
      <c r="H18" s="294"/>
    </row>
    <row r="19" spans="1:8" ht="10" customHeight="1">
      <c r="B19" s="132"/>
      <c r="C19" s="133"/>
      <c r="D19" s="133"/>
      <c r="E19" s="133"/>
      <c r="F19" s="133"/>
      <c r="G19" s="133"/>
      <c r="H19" s="134"/>
    </row>
    <row r="21" spans="1:8" ht="15.5">
      <c r="B21" s="129" t="s">
        <v>138</v>
      </c>
      <c r="C21" s="130"/>
      <c r="D21" s="130"/>
      <c r="E21" s="130"/>
      <c r="F21" s="130"/>
      <c r="G21" s="130"/>
      <c r="H21" s="131"/>
    </row>
    <row r="22" spans="1:8" ht="61" customHeight="1">
      <c r="B22" s="290" t="s">
        <v>236</v>
      </c>
      <c r="C22" s="288"/>
      <c r="D22" s="288"/>
      <c r="E22" s="288"/>
      <c r="F22" s="288"/>
      <c r="G22" s="288"/>
      <c r="H22" s="289"/>
    </row>
    <row r="23" spans="1:8" ht="10" customHeight="1">
      <c r="B23" s="135"/>
      <c r="C23" s="100"/>
      <c r="D23" s="100"/>
      <c r="E23" s="100"/>
      <c r="F23" s="100"/>
      <c r="G23" s="100"/>
      <c r="H23" s="136"/>
    </row>
    <row r="24" spans="1:8" ht="15.5">
      <c r="B24" s="145" t="s">
        <v>150</v>
      </c>
      <c r="C24" s="144"/>
      <c r="D24" s="144"/>
      <c r="E24" s="144"/>
      <c r="F24" s="144"/>
      <c r="G24" s="144"/>
      <c r="H24" s="146"/>
    </row>
    <row r="25" spans="1:8" ht="32.15" customHeight="1">
      <c r="B25" s="291" t="s">
        <v>151</v>
      </c>
      <c r="C25" s="288"/>
      <c r="D25" s="288"/>
      <c r="E25" s="288"/>
      <c r="F25" s="288"/>
      <c r="G25" s="288"/>
      <c r="H25" s="289"/>
    </row>
    <row r="26" spans="1:8" ht="15.5">
      <c r="B26" s="292" t="s">
        <v>162</v>
      </c>
      <c r="C26" s="293"/>
      <c r="D26" s="293"/>
      <c r="E26" s="293"/>
      <c r="F26" s="293"/>
      <c r="G26" s="293"/>
      <c r="H26" s="294"/>
    </row>
    <row r="27" spans="1:8" ht="15.5">
      <c r="B27" s="292" t="s">
        <v>163</v>
      </c>
      <c r="C27" s="293"/>
      <c r="D27" s="293"/>
      <c r="E27" s="293"/>
      <c r="F27" s="293"/>
      <c r="G27" s="293"/>
      <c r="H27" s="294"/>
    </row>
    <row r="28" spans="1:8" ht="15.5">
      <c r="B28" s="292" t="s">
        <v>164</v>
      </c>
      <c r="C28" s="293"/>
      <c r="D28" s="293"/>
      <c r="E28" s="293"/>
      <c r="F28" s="293"/>
      <c r="G28" s="293"/>
      <c r="H28" s="294"/>
    </row>
    <row r="29" spans="1:8" ht="10" customHeight="1">
      <c r="B29" s="135"/>
      <c r="C29" s="100"/>
      <c r="D29" s="100"/>
      <c r="E29" s="100"/>
      <c r="F29" s="100"/>
      <c r="G29" s="100"/>
      <c r="H29" s="136"/>
    </row>
    <row r="30" spans="1:8" ht="15.5">
      <c r="B30" s="145" t="s">
        <v>187</v>
      </c>
      <c r="C30" s="144"/>
      <c r="D30" s="144"/>
      <c r="E30" s="144"/>
      <c r="F30" s="144"/>
      <c r="G30" s="144"/>
      <c r="H30" s="146"/>
    </row>
    <row r="31" spans="1:8" s="101" customFormat="1" ht="64" customHeight="1">
      <c r="A31" s="50"/>
      <c r="B31" s="295" t="s">
        <v>188</v>
      </c>
      <c r="C31" s="288"/>
      <c r="D31" s="288"/>
      <c r="E31" s="288"/>
      <c r="F31" s="288"/>
      <c r="G31" s="288"/>
      <c r="H31" s="289"/>
    </row>
    <row r="32" spans="1:8" ht="15.5">
      <c r="B32" s="287" t="s">
        <v>140</v>
      </c>
      <c r="C32" s="288"/>
      <c r="D32" s="288"/>
      <c r="E32" s="288"/>
      <c r="F32" s="288"/>
      <c r="G32" s="288"/>
      <c r="H32" s="289"/>
    </row>
    <row r="33" spans="2:8">
      <c r="B33" s="285" t="s">
        <v>139</v>
      </c>
      <c r="C33" s="286"/>
      <c r="D33" s="286"/>
      <c r="E33" s="286"/>
      <c r="F33" s="100"/>
      <c r="G33" s="100"/>
      <c r="H33" s="136"/>
    </row>
    <row r="34" spans="2:8" ht="10" customHeight="1">
      <c r="B34" s="132"/>
      <c r="C34" s="133"/>
      <c r="D34" s="133"/>
      <c r="E34" s="133"/>
      <c r="F34" s="133"/>
      <c r="G34" s="133"/>
      <c r="H34" s="134"/>
    </row>
  </sheetData>
  <sheetProtection algorithmName="SHA-512" hashValue="E7Sgh50DWOBj5PJHA4s59Gd0/uoaPog+lwrT+6HGfjTuX0mBFGhl2fyi4CvcvAieZqLpgQ/9KMyYYj3YWlBkxg==" saltValue="0iP9ZAgMuUDffaDjYg71zA==" spinCount="100000" sheet="1" objects="1" scenarios="1" selectLockedCells="1" selectUnlockedCells="1"/>
  <mergeCells count="19">
    <mergeCell ref="B17:H17"/>
    <mergeCell ref="B18:H18"/>
    <mergeCell ref="B5:H5"/>
    <mergeCell ref="B13:H13"/>
    <mergeCell ref="B14:H14"/>
    <mergeCell ref="B15:H15"/>
    <mergeCell ref="B9:H9"/>
    <mergeCell ref="B10:H10"/>
    <mergeCell ref="B11:H11"/>
    <mergeCell ref="B12:H12"/>
    <mergeCell ref="B16:H16"/>
    <mergeCell ref="B33:E33"/>
    <mergeCell ref="B32:H32"/>
    <mergeCell ref="B22:H22"/>
    <mergeCell ref="B25:H25"/>
    <mergeCell ref="B26:H26"/>
    <mergeCell ref="B27:H27"/>
    <mergeCell ref="B28:H28"/>
    <mergeCell ref="B31:H31"/>
  </mergeCells>
  <hyperlinks>
    <hyperlink ref="B33" r:id="rId1" xr:uid="{11F7EEB6-7FAD-134D-A9C3-6DA4294C47DA}"/>
  </hyperlinks>
  <pageMargins left="0.7" right="0.7" top="0.75" bottom="0.75" header="0.3" footer="0.3"/>
  <pageSetup orientation="portrait" verticalDpi="0" r:id="rId2"/>
  <headerFooter>
    <oddHeader xml:space="preserve">&amp;C </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595ED7-406B-5E42-90F6-6EE13F640FDD}">
  <dimension ref="A1:J47"/>
  <sheetViews>
    <sheetView showGridLines="0" view="pageLayout" zoomScaleNormal="100" workbookViewId="0">
      <selection activeCell="B3" sqref="B3"/>
    </sheetView>
  </sheetViews>
  <sheetFormatPr defaultColWidth="11.453125" defaultRowHeight="14.5"/>
  <cols>
    <col min="1" max="1" width="1" customWidth="1"/>
    <col min="2" max="7" width="12" customWidth="1"/>
    <col min="8" max="8" width="13.81640625" customWidth="1"/>
    <col min="9" max="9" width="9" customWidth="1"/>
  </cols>
  <sheetData>
    <row r="1" spans="1:8" ht="21">
      <c r="A1" s="4"/>
      <c r="B1" s="17" t="s">
        <v>259</v>
      </c>
    </row>
    <row r="2" spans="1:8" ht="18.5">
      <c r="A2" s="4"/>
      <c r="B2" s="6" t="s">
        <v>143</v>
      </c>
    </row>
    <row r="4" spans="1:8" ht="18.5">
      <c r="B4" s="6" t="s">
        <v>75</v>
      </c>
    </row>
    <row r="5" spans="1:8" ht="15.5">
      <c r="B5" s="107" t="s">
        <v>42</v>
      </c>
      <c r="C5" s="108"/>
      <c r="D5" s="108"/>
      <c r="E5" s="108"/>
      <c r="F5" s="108"/>
      <c r="G5" s="108"/>
      <c r="H5" s="109"/>
    </row>
    <row r="6" spans="1:8" ht="15.5">
      <c r="B6" s="174" t="s">
        <v>234</v>
      </c>
      <c r="C6" s="34"/>
      <c r="D6" s="34"/>
      <c r="E6" s="34"/>
      <c r="F6" s="34"/>
      <c r="G6" s="34"/>
      <c r="H6" s="110"/>
    </row>
    <row r="7" spans="1:8" ht="10" customHeight="1">
      <c r="B7" s="111"/>
      <c r="C7" s="112"/>
      <c r="D7" s="112"/>
      <c r="E7" s="112"/>
      <c r="F7" s="112"/>
      <c r="G7" s="112"/>
      <c r="H7" s="113"/>
    </row>
    <row r="9" spans="1:8" ht="18.5">
      <c r="B9" s="6" t="s">
        <v>147</v>
      </c>
    </row>
    <row r="10" spans="1:8" ht="15.5">
      <c r="B10" s="107" t="s">
        <v>144</v>
      </c>
      <c r="C10" s="108"/>
      <c r="D10" s="108"/>
      <c r="E10" s="108"/>
      <c r="F10" s="108"/>
      <c r="G10" s="108"/>
      <c r="H10" s="109"/>
    </row>
    <row r="11" spans="1:8" ht="30" customHeight="1">
      <c r="B11" s="297" t="s">
        <v>258</v>
      </c>
      <c r="C11" s="298"/>
      <c r="D11" s="298"/>
      <c r="E11" s="298"/>
      <c r="F11" s="298"/>
      <c r="G11" s="298"/>
      <c r="H11" s="299"/>
    </row>
    <row r="12" spans="1:8" ht="15.5">
      <c r="B12" s="174" t="s">
        <v>232</v>
      </c>
      <c r="C12" s="99"/>
      <c r="D12" s="99"/>
      <c r="E12" s="99"/>
      <c r="F12" s="99"/>
      <c r="G12" s="99"/>
      <c r="H12" s="114"/>
    </row>
    <row r="13" spans="1:8" ht="10" customHeight="1">
      <c r="B13" s="115"/>
      <c r="C13" s="116"/>
      <c r="D13" s="116"/>
      <c r="E13" s="116"/>
      <c r="F13" s="116"/>
      <c r="G13" s="116"/>
      <c r="H13" s="117"/>
    </row>
    <row r="15" spans="1:8" ht="18.5">
      <c r="B15" s="6" t="s">
        <v>27</v>
      </c>
    </row>
    <row r="16" spans="1:8" ht="15.5">
      <c r="B16" s="107" t="s">
        <v>145</v>
      </c>
      <c r="C16" s="108"/>
      <c r="D16" s="108"/>
      <c r="E16" s="108"/>
      <c r="F16" s="108"/>
      <c r="G16" s="108"/>
      <c r="H16" s="109"/>
    </row>
    <row r="17" spans="2:10" ht="15.5">
      <c r="B17" s="174" t="s">
        <v>233</v>
      </c>
      <c r="C17" s="99"/>
      <c r="D17" s="99"/>
      <c r="E17" s="34"/>
      <c r="F17" s="34"/>
      <c r="G17" s="34"/>
      <c r="H17" s="110"/>
    </row>
    <row r="18" spans="2:10" ht="15.5">
      <c r="B18" s="150" t="s">
        <v>196</v>
      </c>
      <c r="C18" s="99"/>
      <c r="D18" s="99"/>
      <c r="E18" s="34"/>
      <c r="F18" s="34"/>
      <c r="G18" s="34"/>
      <c r="H18" s="110"/>
    </row>
    <row r="19" spans="2:10" ht="15.5">
      <c r="B19" s="150" t="s">
        <v>197</v>
      </c>
      <c r="C19" s="99"/>
      <c r="D19" s="99"/>
      <c r="E19" s="34"/>
      <c r="F19" s="34"/>
      <c r="G19" s="34"/>
      <c r="H19" s="110"/>
    </row>
    <row r="20" spans="2:10" ht="15.5">
      <c r="B20" s="150" t="s">
        <v>198</v>
      </c>
      <c r="C20" s="99"/>
      <c r="D20" s="99"/>
      <c r="E20" s="34"/>
      <c r="F20" s="34"/>
      <c r="G20" s="34"/>
      <c r="H20" s="110"/>
    </row>
    <row r="21" spans="2:10" ht="10" customHeight="1">
      <c r="B21" s="118"/>
      <c r="C21" s="34"/>
      <c r="D21" s="34"/>
      <c r="E21" s="34"/>
      <c r="F21" s="34"/>
      <c r="G21" s="34"/>
      <c r="H21" s="110"/>
      <c r="I21" s="34"/>
      <c r="J21" s="34"/>
    </row>
    <row r="22" spans="2:10" ht="15.5">
      <c r="B22" s="119" t="s">
        <v>44</v>
      </c>
      <c r="C22" s="97"/>
      <c r="D22" s="97"/>
      <c r="E22" s="97"/>
      <c r="F22" s="97"/>
      <c r="G22" s="97"/>
      <c r="H22" s="120"/>
      <c r="I22" s="34"/>
      <c r="J22" s="34"/>
    </row>
    <row r="23" spans="2:10" ht="30" customHeight="1">
      <c r="B23" s="300" t="s">
        <v>224</v>
      </c>
      <c r="C23" s="301"/>
      <c r="D23" s="301"/>
      <c r="E23" s="301"/>
      <c r="F23" s="301"/>
      <c r="G23" s="301"/>
      <c r="H23" s="302"/>
      <c r="I23" s="34"/>
      <c r="J23" s="34"/>
    </row>
    <row r="24" spans="2:10" ht="15.5">
      <c r="B24" s="174" t="s">
        <v>225</v>
      </c>
      <c r="C24" s="99"/>
      <c r="D24" s="99"/>
      <c r="E24" s="99"/>
      <c r="F24" s="99"/>
      <c r="G24" s="99"/>
      <c r="H24" s="114"/>
      <c r="I24" s="34"/>
      <c r="J24" s="34"/>
    </row>
    <row r="25" spans="2:10" ht="15.5">
      <c r="B25" s="174" t="s">
        <v>226</v>
      </c>
      <c r="C25" s="99"/>
      <c r="D25" s="99"/>
      <c r="E25" s="99"/>
      <c r="F25" s="99"/>
      <c r="G25" s="99"/>
      <c r="H25" s="114"/>
      <c r="I25" s="34"/>
      <c r="J25" s="34"/>
    </row>
    <row r="26" spans="2:10" ht="15.5">
      <c r="B26" s="150" t="s">
        <v>192</v>
      </c>
      <c r="C26" s="99"/>
      <c r="D26" s="99"/>
      <c r="E26" s="99"/>
      <c r="F26" s="99"/>
      <c r="G26" s="99"/>
      <c r="H26" s="114"/>
      <c r="I26" s="34"/>
      <c r="J26" s="34"/>
    </row>
    <row r="27" spans="2:10" ht="15.5">
      <c r="B27" s="150" t="s">
        <v>193</v>
      </c>
      <c r="C27" s="99"/>
      <c r="D27" s="99"/>
      <c r="E27" s="99"/>
      <c r="F27" s="99"/>
      <c r="G27" s="99"/>
      <c r="H27" s="114"/>
      <c r="I27" s="34"/>
      <c r="J27" s="34"/>
    </row>
    <row r="28" spans="2:10" ht="15.5">
      <c r="B28" s="150" t="s">
        <v>194</v>
      </c>
      <c r="C28" s="99"/>
      <c r="D28" s="99"/>
      <c r="E28" s="34"/>
      <c r="F28" s="34"/>
      <c r="G28" s="34"/>
      <c r="H28" s="110"/>
      <c r="I28" s="34"/>
      <c r="J28" s="34"/>
    </row>
    <row r="29" spans="2:10" ht="15.5">
      <c r="B29" s="150" t="s">
        <v>195</v>
      </c>
      <c r="C29" s="99"/>
      <c r="D29" s="99"/>
      <c r="E29" s="34"/>
      <c r="F29" s="34"/>
      <c r="G29" s="34"/>
      <c r="H29" s="110"/>
      <c r="I29" s="34"/>
      <c r="J29" s="34"/>
    </row>
    <row r="30" spans="2:10" ht="10" customHeight="1">
      <c r="B30" s="115"/>
      <c r="C30" s="116"/>
      <c r="D30" s="116"/>
      <c r="E30" s="112"/>
      <c r="F30" s="112"/>
      <c r="G30" s="112"/>
      <c r="H30" s="113"/>
      <c r="I30" s="34"/>
      <c r="J30" s="34"/>
    </row>
    <row r="31" spans="2:10">
      <c r="B31" s="34"/>
      <c r="C31" s="34"/>
      <c r="D31" s="34"/>
      <c r="E31" s="34"/>
      <c r="F31" s="34"/>
      <c r="G31" s="34"/>
      <c r="H31" s="34"/>
      <c r="I31" s="34"/>
      <c r="J31" s="34"/>
    </row>
    <row r="32" spans="2:10" ht="18.5">
      <c r="B32" s="98" t="s">
        <v>28</v>
      </c>
      <c r="C32" s="34"/>
      <c r="D32" s="34"/>
      <c r="E32" s="34"/>
      <c r="F32" s="34"/>
      <c r="G32" s="34"/>
      <c r="H32" s="34"/>
      <c r="I32" s="34"/>
      <c r="J32" s="34"/>
    </row>
    <row r="33" spans="2:10" ht="15.5">
      <c r="B33" s="107" t="s">
        <v>146</v>
      </c>
      <c r="C33" s="108"/>
      <c r="D33" s="108"/>
      <c r="E33" s="108"/>
      <c r="F33" s="108"/>
      <c r="G33" s="108"/>
      <c r="H33" s="109"/>
      <c r="I33" s="34"/>
      <c r="J33" s="34"/>
    </row>
    <row r="34" spans="2:10" ht="16" customHeight="1">
      <c r="B34" s="306" t="s">
        <v>227</v>
      </c>
      <c r="C34" s="307"/>
      <c r="D34" s="307"/>
      <c r="E34" s="307"/>
      <c r="F34" s="307"/>
      <c r="G34" s="307"/>
      <c r="H34" s="308"/>
      <c r="I34" s="34"/>
      <c r="J34" s="34"/>
    </row>
    <row r="35" spans="2:10" ht="32.15" customHeight="1">
      <c r="B35" s="300" t="s">
        <v>228</v>
      </c>
      <c r="C35" s="301"/>
      <c r="D35" s="301"/>
      <c r="E35" s="301"/>
      <c r="F35" s="301"/>
      <c r="G35" s="301"/>
      <c r="H35" s="302"/>
      <c r="I35" s="34"/>
      <c r="J35" s="34"/>
    </row>
    <row r="36" spans="2:10" ht="16" customHeight="1">
      <c r="B36" s="174" t="s">
        <v>229</v>
      </c>
      <c r="C36" s="99"/>
      <c r="D36" s="99"/>
      <c r="E36" s="99"/>
      <c r="F36" s="99"/>
      <c r="G36" s="99"/>
      <c r="H36" s="114"/>
      <c r="I36" s="34"/>
      <c r="J36" s="34"/>
    </row>
    <row r="37" spans="2:10" ht="15.5">
      <c r="B37" s="174" t="s">
        <v>230</v>
      </c>
      <c r="C37" s="99"/>
      <c r="D37" s="99"/>
      <c r="E37" s="99"/>
      <c r="F37" s="99"/>
      <c r="G37" s="99"/>
      <c r="H37" s="114"/>
      <c r="I37" s="34"/>
      <c r="J37" s="34"/>
    </row>
    <row r="38" spans="2:10" ht="10" customHeight="1">
      <c r="B38" s="118"/>
      <c r="C38" s="34"/>
      <c r="D38" s="34"/>
      <c r="E38" s="34"/>
      <c r="F38" s="34"/>
      <c r="G38" s="34"/>
      <c r="H38" s="110"/>
      <c r="I38" s="34"/>
      <c r="J38" s="34"/>
    </row>
    <row r="39" spans="2:10" ht="15.25" customHeight="1">
      <c r="B39" s="119" t="s">
        <v>45</v>
      </c>
      <c r="C39" s="97"/>
      <c r="D39" s="97"/>
      <c r="E39" s="97"/>
      <c r="F39" s="97"/>
      <c r="G39" s="97"/>
      <c r="H39" s="120"/>
      <c r="I39" s="34"/>
      <c r="J39" s="34"/>
    </row>
    <row r="40" spans="2:10" ht="32.15" customHeight="1">
      <c r="B40" s="303" t="s">
        <v>235</v>
      </c>
      <c r="C40" s="304"/>
      <c r="D40" s="304"/>
      <c r="E40" s="304"/>
      <c r="F40" s="304"/>
      <c r="G40" s="304"/>
      <c r="H40" s="305"/>
      <c r="I40" s="34"/>
      <c r="J40" s="34"/>
    </row>
    <row r="41" spans="2:10" ht="16" customHeight="1">
      <c r="B41" s="174" t="s">
        <v>231</v>
      </c>
      <c r="C41" s="99"/>
      <c r="D41" s="99"/>
      <c r="E41" s="34"/>
      <c r="F41" s="34"/>
      <c r="G41" s="34"/>
      <c r="H41" s="110"/>
      <c r="I41" s="34"/>
      <c r="J41" s="34"/>
    </row>
    <row r="42" spans="2:10" ht="15.5">
      <c r="B42" s="150" t="s">
        <v>199</v>
      </c>
      <c r="C42" s="99"/>
      <c r="D42" s="99"/>
      <c r="E42" s="34"/>
      <c r="F42" s="34"/>
      <c r="G42" s="34"/>
      <c r="H42" s="110"/>
      <c r="I42" s="34"/>
      <c r="J42" s="34"/>
    </row>
    <row r="43" spans="2:10" ht="15.5">
      <c r="B43" s="150" t="s">
        <v>200</v>
      </c>
      <c r="C43" s="99"/>
      <c r="D43" s="99"/>
      <c r="E43" s="34"/>
      <c r="F43" s="34"/>
      <c r="G43" s="34"/>
      <c r="H43" s="110"/>
      <c r="I43" s="34"/>
      <c r="J43" s="34"/>
    </row>
    <row r="44" spans="2:10" ht="15.5">
      <c r="B44" s="150" t="s">
        <v>201</v>
      </c>
      <c r="C44" s="99"/>
      <c r="D44" s="99"/>
      <c r="E44" s="34"/>
      <c r="F44" s="34"/>
      <c r="G44" s="34"/>
      <c r="H44" s="110"/>
      <c r="I44" s="34"/>
      <c r="J44" s="34"/>
    </row>
    <row r="45" spans="2:10" ht="15.5">
      <c r="B45" s="150" t="s">
        <v>202</v>
      </c>
      <c r="C45" s="99"/>
      <c r="D45" s="99"/>
      <c r="E45" s="34"/>
      <c r="F45" s="34"/>
      <c r="G45" s="34"/>
      <c r="H45" s="110"/>
      <c r="I45" s="34"/>
      <c r="J45" s="34"/>
    </row>
    <row r="46" spans="2:10" ht="10" customHeight="1">
      <c r="B46" s="111"/>
      <c r="C46" s="112"/>
      <c r="D46" s="112"/>
      <c r="E46" s="112"/>
      <c r="F46" s="112"/>
      <c r="G46" s="112"/>
      <c r="H46" s="113"/>
      <c r="I46" s="34"/>
      <c r="J46" s="34"/>
    </row>
    <row r="47" spans="2:10">
      <c r="B47" s="34"/>
      <c r="C47" s="34"/>
      <c r="D47" s="34"/>
      <c r="E47" s="34"/>
      <c r="F47" s="34"/>
      <c r="G47" s="34"/>
      <c r="H47" s="34"/>
      <c r="I47" s="34"/>
      <c r="J47" s="34"/>
    </row>
  </sheetData>
  <sheetProtection algorithmName="SHA-512" hashValue="4gkCDeAh9ZGz5unDj1m19S06bSJt5FK8HhaUdulHYDCapZyfAxzzcDjTZ1PFcyd0vFP9zmqCM1nEni0VJx0CJA==" saltValue="0iPLr4rW+wj9xo4BgKL0dA==" spinCount="100000" sheet="1" objects="1" scenarios="1" selectLockedCells="1" selectUnlockedCells="1"/>
  <mergeCells count="5">
    <mergeCell ref="B11:H11"/>
    <mergeCell ref="B23:H23"/>
    <mergeCell ref="B35:H35"/>
    <mergeCell ref="B40:H40"/>
    <mergeCell ref="B34:H34"/>
  </mergeCells>
  <pageMargins left="0.7" right="0.7" top="0.75" bottom="0.75" header="0.3" footer="0.3"/>
  <pageSetup scale="95" orientation="portrait" verticalDpi="0" r:id="rId1"/>
  <headerFooter>
    <oddHeader xml:space="preserve">&amp;C </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Instructions</vt:lpstr>
      <vt:lpstr>1. Inputs</vt:lpstr>
      <vt:lpstr>2. Return on Investment Summary</vt:lpstr>
      <vt:lpstr>3. Comparison Summary</vt:lpstr>
      <vt:lpstr>4. Detailed Reports</vt:lpstr>
      <vt:lpstr>Variety Data</vt:lpstr>
      <vt:lpstr>Considerations</vt:lpstr>
      <vt:lpstr>Assumptions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2020-02-18T21:30:18Z</dcterms:modified>
</cp:coreProperties>
</file>